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 defaultThemeVersion="166925"/>
  <xr:revisionPtr revIDLastSave="0" documentId="13_ncr:1_{0DA2542E-C1F5-4F32-B2A4-ABF272E1EF47}" xr6:coauthVersionLast="47" xr6:coauthVersionMax="47" xr10:uidLastSave="{00000000-0000-0000-0000-000000000000}"/>
  <bookViews>
    <workbookView xWindow="-110" yWindow="-110" windowWidth="19420" windowHeight="10420" tabRatio="721" activeTab="3" xr2:uid="{00000000-000D-0000-FFFF-FFFF00000000}"/>
  </bookViews>
  <sheets>
    <sheet name="Bid Recap &amp; Summary" sheetId="2" r:id="rId1"/>
    <sheet name="Worksheet" sheetId="1" r:id="rId2"/>
    <sheet name="Lumber Breakdown" sheetId="3" r:id="rId3"/>
    <sheet name="Material List" sheetId="4" r:id="rId4"/>
  </sheets>
  <externalReferences>
    <externalReference r:id="rId5"/>
  </externalReferences>
  <definedNames>
    <definedName name="_xlnm._FilterDatabase" localSheetId="0" hidden="1">'Bid Recap &amp; Summary'!$A$2:$Q$2</definedName>
    <definedName name="_xlnm._FilterDatabase" localSheetId="2" hidden="1">'Lumber Breakdown'!$A$7:$T$305</definedName>
    <definedName name="_xlnm._FilterDatabase" localSheetId="3" hidden="1">'Material List'!$A$7:$G$547</definedName>
    <definedName name="_xlnm._FilterDatabase" localSheetId="1" hidden="1">Worksheet!$A$7:$T$545</definedName>
    <definedName name="_xlnm.Print_Area" localSheetId="0">'Bid Recap &amp; Summary'!$A$1:$N$54</definedName>
    <definedName name="_xlnm.Print_Area" localSheetId="2">'Lumber Breakdown'!$A$1:$R$306</definedName>
    <definedName name="_xlnm.Print_Area" localSheetId="3">'Material List'!$A$1:$E$548</definedName>
    <definedName name="_xlnm.Print_Area" localSheetId="1">Worksheet!$A$1:$R$546</definedName>
    <definedName name="_xlnm.Print_Titles" localSheetId="2">'Lumber Breakdown'!$1:$7</definedName>
    <definedName name="_xlnm.Print_Titles" localSheetId="3">'Material List'!$1:$7</definedName>
    <definedName name="_xlnm.Print_Titles" localSheetId="1">Worksheet!$1:$7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6" i="2" l="1"/>
  <c r="A10" i="4"/>
  <c r="A11" i="4"/>
  <c r="D11" i="4"/>
  <c r="A12" i="4"/>
  <c r="A13" i="4"/>
  <c r="A14" i="4"/>
  <c r="D14" i="4"/>
  <c r="A15" i="4"/>
  <c r="A16" i="4"/>
  <c r="A17" i="4"/>
  <c r="A18" i="4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D45" i="4"/>
  <c r="A46" i="4"/>
  <c r="A47" i="4"/>
  <c r="A48" i="4"/>
  <c r="A49" i="4"/>
  <c r="A50" i="4"/>
  <c r="A51" i="4"/>
  <c r="A52" i="4"/>
  <c r="A53" i="4"/>
  <c r="A54" i="4"/>
  <c r="A55" i="4"/>
  <c r="A56" i="4"/>
  <c r="D56" i="4"/>
  <c r="A57" i="4"/>
  <c r="A58" i="4"/>
  <c r="D58" i="4"/>
  <c r="A59" i="4"/>
  <c r="D59" i="4"/>
  <c r="A60" i="4"/>
  <c r="D60" i="4"/>
  <c r="A61" i="4"/>
  <c r="A62" i="4"/>
  <c r="D62" i="4"/>
  <c r="A63" i="4"/>
  <c r="A64" i="4"/>
  <c r="D64" i="4"/>
  <c r="A65" i="4"/>
  <c r="D65" i="4"/>
  <c r="A66" i="4"/>
  <c r="D66" i="4"/>
  <c r="A67" i="4"/>
  <c r="A68" i="4"/>
  <c r="D68" i="4"/>
  <c r="A69" i="4"/>
  <c r="D69" i="4"/>
  <c r="A70" i="4"/>
  <c r="D70" i="4"/>
  <c r="A71" i="4"/>
  <c r="A72" i="4"/>
  <c r="D72" i="4"/>
  <c r="A73" i="4"/>
  <c r="D73" i="4"/>
  <c r="A74" i="4"/>
  <c r="D74" i="4"/>
  <c r="A75" i="4"/>
  <c r="D75" i="4"/>
  <c r="A76" i="4"/>
  <c r="A77" i="4"/>
  <c r="D77" i="4"/>
  <c r="A78" i="4"/>
  <c r="A79" i="4"/>
  <c r="D79" i="4"/>
  <c r="A80" i="4"/>
  <c r="D80" i="4"/>
  <c r="A81" i="4"/>
  <c r="A82" i="4"/>
  <c r="D82" i="4"/>
  <c r="A83" i="4"/>
  <c r="A84" i="4"/>
  <c r="D84" i="4"/>
  <c r="A85" i="4"/>
  <c r="A86" i="4"/>
  <c r="D86" i="4"/>
  <c r="A87" i="4"/>
  <c r="D87" i="4"/>
  <c r="A88" i="4"/>
  <c r="A89" i="4"/>
  <c r="D89" i="4"/>
  <c r="A90" i="4"/>
  <c r="A91" i="4"/>
  <c r="D91" i="4"/>
  <c r="A92" i="4"/>
  <c r="D92" i="4"/>
  <c r="A93" i="4"/>
  <c r="D93" i="4"/>
  <c r="A94" i="4"/>
  <c r="D94" i="4"/>
  <c r="A95" i="4"/>
  <c r="D95" i="4"/>
  <c r="A96" i="4"/>
  <c r="D96" i="4"/>
  <c r="A97" i="4"/>
  <c r="D97" i="4"/>
  <c r="A98" i="4"/>
  <c r="D98" i="4"/>
  <c r="A99" i="4"/>
  <c r="A100" i="4"/>
  <c r="D100" i="4"/>
  <c r="A101" i="4"/>
  <c r="D101" i="4"/>
  <c r="A102" i="4"/>
  <c r="A103" i="4"/>
  <c r="D103" i="4"/>
  <c r="A104" i="4"/>
  <c r="D104" i="4"/>
  <c r="A105" i="4"/>
  <c r="D105" i="4"/>
  <c r="A106" i="4"/>
  <c r="D106" i="4"/>
  <c r="A107" i="4"/>
  <c r="D107" i="4"/>
  <c r="A108" i="4"/>
  <c r="D108" i="4"/>
  <c r="A109" i="4"/>
  <c r="D109" i="4"/>
  <c r="A110" i="4"/>
  <c r="D110" i="4"/>
  <c r="A111" i="4"/>
  <c r="A112" i="4"/>
  <c r="D112" i="4"/>
  <c r="A113" i="4"/>
  <c r="D113" i="4"/>
  <c r="A114" i="4"/>
  <c r="A115" i="4"/>
  <c r="A116" i="4"/>
  <c r="A117" i="4"/>
  <c r="A118" i="4"/>
  <c r="A119" i="4"/>
  <c r="A120" i="4"/>
  <c r="D120" i="4"/>
  <c r="A121" i="4"/>
  <c r="A122" i="4"/>
  <c r="A123" i="4"/>
  <c r="D123" i="4"/>
  <c r="A124" i="4"/>
  <c r="A125" i="4"/>
  <c r="A126" i="4"/>
  <c r="A127" i="4"/>
  <c r="A128" i="4"/>
  <c r="A129" i="4"/>
  <c r="A130" i="4"/>
  <c r="A131" i="4"/>
  <c r="A132" i="4"/>
  <c r="A133" i="4"/>
  <c r="A134" i="4"/>
  <c r="A135" i="4"/>
  <c r="A136" i="4"/>
  <c r="A137" i="4"/>
  <c r="D137" i="4"/>
  <c r="A138" i="4"/>
  <c r="A139" i="4"/>
  <c r="D139" i="4"/>
  <c r="A140" i="4"/>
  <c r="A141" i="4"/>
  <c r="A142" i="4"/>
  <c r="A143" i="4"/>
  <c r="A144" i="4"/>
  <c r="A145" i="4"/>
  <c r="A146" i="4"/>
  <c r="A147" i="4"/>
  <c r="A148" i="4"/>
  <c r="A149" i="4"/>
  <c r="A150" i="4"/>
  <c r="A151" i="4"/>
  <c r="A152" i="4"/>
  <c r="A153" i="4"/>
  <c r="A154" i="4"/>
  <c r="A155" i="4"/>
  <c r="A156" i="4"/>
  <c r="A157" i="4"/>
  <c r="A158" i="4"/>
  <c r="A159" i="4"/>
  <c r="A160" i="4"/>
  <c r="A161" i="4"/>
  <c r="A162" i="4"/>
  <c r="A163" i="4"/>
  <c r="A164" i="4"/>
  <c r="D164" i="4"/>
  <c r="A165" i="4"/>
  <c r="A166" i="4"/>
  <c r="A167" i="4"/>
  <c r="D167" i="4"/>
  <c r="A168" i="4"/>
  <c r="A169" i="4"/>
  <c r="A170" i="4"/>
  <c r="A171" i="4"/>
  <c r="A172" i="4"/>
  <c r="D172" i="4"/>
  <c r="D185" i="4" s="1"/>
  <c r="A173" i="4"/>
  <c r="D173" i="4"/>
  <c r="A174" i="4"/>
  <c r="D174" i="4"/>
  <c r="A175" i="4"/>
  <c r="D175" i="4"/>
  <c r="A176" i="4"/>
  <c r="D176" i="4"/>
  <c r="A177" i="4"/>
  <c r="D177" i="4"/>
  <c r="A178" i="4"/>
  <c r="A179" i="4"/>
  <c r="A180" i="4"/>
  <c r="D180" i="4"/>
  <c r="A181" i="4"/>
  <c r="D181" i="4"/>
  <c r="A182" i="4"/>
  <c r="D182" i="4"/>
  <c r="A183" i="4"/>
  <c r="A184" i="4"/>
  <c r="D184" i="4"/>
  <c r="A185" i="4"/>
  <c r="A186" i="4"/>
  <c r="D186" i="4"/>
  <c r="A187" i="4"/>
  <c r="A188" i="4"/>
  <c r="A189" i="4"/>
  <c r="A190" i="4"/>
  <c r="A191" i="4"/>
  <c r="A192" i="4"/>
  <c r="A193" i="4"/>
  <c r="A194" i="4"/>
  <c r="A195" i="4"/>
  <c r="A196" i="4"/>
  <c r="A197" i="4"/>
  <c r="A198" i="4"/>
  <c r="A199" i="4"/>
  <c r="A200" i="4"/>
  <c r="A201" i="4"/>
  <c r="A202" i="4"/>
  <c r="A203" i="4"/>
  <c r="A204" i="4"/>
  <c r="A205" i="4"/>
  <c r="A206" i="4"/>
  <c r="A207" i="4"/>
  <c r="A208" i="4"/>
  <c r="A209" i="4"/>
  <c r="A210" i="4"/>
  <c r="A211" i="4"/>
  <c r="A212" i="4"/>
  <c r="A213" i="4"/>
  <c r="A214" i="4"/>
  <c r="A215" i="4"/>
  <c r="A216" i="4"/>
  <c r="A217" i="4"/>
  <c r="A218" i="4"/>
  <c r="A219" i="4"/>
  <c r="A220" i="4"/>
  <c r="A221" i="4"/>
  <c r="A222" i="4"/>
  <c r="A223" i="4"/>
  <c r="A224" i="4"/>
  <c r="A225" i="4"/>
  <c r="A226" i="4"/>
  <c r="A227" i="4"/>
  <c r="A228" i="4"/>
  <c r="A229" i="4"/>
  <c r="A230" i="4"/>
  <c r="A231" i="4"/>
  <c r="A232" i="4"/>
  <c r="A233" i="4"/>
  <c r="A234" i="4"/>
  <c r="A235" i="4"/>
  <c r="A236" i="4"/>
  <c r="A237" i="4"/>
  <c r="A238" i="4"/>
  <c r="D238" i="4"/>
  <c r="A239" i="4"/>
  <c r="A240" i="4"/>
  <c r="A241" i="4"/>
  <c r="D241" i="4"/>
  <c r="A242" i="4"/>
  <c r="A243" i="4"/>
  <c r="A244" i="4"/>
  <c r="D244" i="4"/>
  <c r="A245" i="4"/>
  <c r="A246" i="4"/>
  <c r="A247" i="4"/>
  <c r="D247" i="4"/>
  <c r="A248" i="4"/>
  <c r="A249" i="4"/>
  <c r="D249" i="4"/>
  <c r="D250" i="4" s="1"/>
  <c r="A250" i="4"/>
  <c r="A251" i="4"/>
  <c r="A252" i="4"/>
  <c r="D252" i="4"/>
  <c r="D253" i="4" s="1"/>
  <c r="A253" i="4"/>
  <c r="A254" i="4"/>
  <c r="A255" i="4"/>
  <c r="A256" i="4"/>
  <c r="A257" i="4"/>
  <c r="D257" i="4"/>
  <c r="A258" i="4"/>
  <c r="A259" i="4"/>
  <c r="A260" i="4"/>
  <c r="A261" i="4"/>
  <c r="A262" i="4"/>
  <c r="A263" i="4"/>
  <c r="A264" i="4"/>
  <c r="A265" i="4"/>
  <c r="A266" i="4"/>
  <c r="A267" i="4"/>
  <c r="A268" i="4"/>
  <c r="A269" i="4"/>
  <c r="A270" i="4"/>
  <c r="A271" i="4"/>
  <c r="A272" i="4"/>
  <c r="A273" i="4"/>
  <c r="A274" i="4"/>
  <c r="A275" i="4"/>
  <c r="A276" i="4"/>
  <c r="A277" i="4"/>
  <c r="A278" i="4"/>
  <c r="A279" i="4"/>
  <c r="A280" i="4"/>
  <c r="A281" i="4"/>
  <c r="A282" i="4"/>
  <c r="A283" i="4"/>
  <c r="A284" i="4"/>
  <c r="A285" i="4"/>
  <c r="A286" i="4"/>
  <c r="A287" i="4"/>
  <c r="A288" i="4"/>
  <c r="A289" i="4"/>
  <c r="A290" i="4"/>
  <c r="A291" i="4"/>
  <c r="A292" i="4"/>
  <c r="A293" i="4"/>
  <c r="A294" i="4"/>
  <c r="A295" i="4"/>
  <c r="A296" i="4"/>
  <c r="A297" i="4"/>
  <c r="A298" i="4"/>
  <c r="D298" i="4"/>
  <c r="A299" i="4"/>
  <c r="A300" i="4"/>
  <c r="A301" i="4"/>
  <c r="A302" i="4"/>
  <c r="A303" i="4"/>
  <c r="A304" i="4"/>
  <c r="A305" i="4"/>
  <c r="A306" i="4"/>
  <c r="A307" i="4"/>
  <c r="A308" i="4"/>
  <c r="A309" i="4"/>
  <c r="A310" i="4"/>
  <c r="A311" i="4"/>
  <c r="A312" i="4"/>
  <c r="A313" i="4"/>
  <c r="A314" i="4"/>
  <c r="A315" i="4"/>
  <c r="D315" i="4"/>
  <c r="D316" i="4" s="1"/>
  <c r="A316" i="4"/>
  <c r="A317" i="4"/>
  <c r="A318" i="4"/>
  <c r="A319" i="4"/>
  <c r="A320" i="4"/>
  <c r="A321" i="4"/>
  <c r="A322" i="4"/>
  <c r="A323" i="4"/>
  <c r="A324" i="4"/>
  <c r="A325" i="4"/>
  <c r="A326" i="4"/>
  <c r="A327" i="4"/>
  <c r="A328" i="4"/>
  <c r="A329" i="4"/>
  <c r="D329" i="4"/>
  <c r="A330" i="4"/>
  <c r="D330" i="4"/>
  <c r="A331" i="4"/>
  <c r="A332" i="4"/>
  <c r="D332" i="4"/>
  <c r="A333" i="4"/>
  <c r="D333" i="4"/>
  <c r="A334" i="4"/>
  <c r="D334" i="4"/>
  <c r="A335" i="4"/>
  <c r="D335" i="4"/>
  <c r="A336" i="4"/>
  <c r="A337" i="4"/>
  <c r="A338" i="4"/>
  <c r="A339" i="4"/>
  <c r="D339" i="4"/>
  <c r="A340" i="4"/>
  <c r="A341" i="4"/>
  <c r="A342" i="4"/>
  <c r="A343" i="4"/>
  <c r="D343" i="4"/>
  <c r="A344" i="4"/>
  <c r="A345" i="4"/>
  <c r="D345" i="4"/>
  <c r="A346" i="4"/>
  <c r="D346" i="4"/>
  <c r="A347" i="4"/>
  <c r="A348" i="4"/>
  <c r="D348" i="4"/>
  <c r="A349" i="4"/>
  <c r="A350" i="4"/>
  <c r="A351" i="4"/>
  <c r="D351" i="4"/>
  <c r="A352" i="4"/>
  <c r="A353" i="4"/>
  <c r="A354" i="4"/>
  <c r="A355" i="4"/>
  <c r="D355" i="4"/>
  <c r="A356" i="4"/>
  <c r="D356" i="4"/>
  <c r="A357" i="4"/>
  <c r="D357" i="4"/>
  <c r="A358" i="4"/>
  <c r="A359" i="4"/>
  <c r="D359" i="4"/>
  <c r="A360" i="4"/>
  <c r="A361" i="4"/>
  <c r="A362" i="4"/>
  <c r="A363" i="4"/>
  <c r="A364" i="4"/>
  <c r="A365" i="4"/>
  <c r="A366" i="4"/>
  <c r="A367" i="4"/>
  <c r="D367" i="4"/>
  <c r="A368" i="4"/>
  <c r="D368" i="4"/>
  <c r="A369" i="4"/>
  <c r="D369" i="4"/>
  <c r="A370" i="4"/>
  <c r="D370" i="4"/>
  <c r="A371" i="4"/>
  <c r="D371" i="4"/>
  <c r="A372" i="4"/>
  <c r="D372" i="4"/>
  <c r="A373" i="4"/>
  <c r="D373" i="4"/>
  <c r="A374" i="4"/>
  <c r="A375" i="4"/>
  <c r="A376" i="4"/>
  <c r="A377" i="4"/>
  <c r="A378" i="4"/>
  <c r="A379" i="4"/>
  <c r="A380" i="4"/>
  <c r="D380" i="4"/>
  <c r="A381" i="4"/>
  <c r="A382" i="4"/>
  <c r="A383" i="4"/>
  <c r="A384" i="4"/>
  <c r="A385" i="4"/>
  <c r="A386" i="4"/>
  <c r="A387" i="4"/>
  <c r="A388" i="4"/>
  <c r="A389" i="4"/>
  <c r="D389" i="4"/>
  <c r="A390" i="4"/>
  <c r="A391" i="4"/>
  <c r="A392" i="4"/>
  <c r="A393" i="4"/>
  <c r="D393" i="4"/>
  <c r="A394" i="4"/>
  <c r="D394" i="4"/>
  <c r="A395" i="4"/>
  <c r="A396" i="4"/>
  <c r="A397" i="4"/>
  <c r="A398" i="4"/>
  <c r="A399" i="4"/>
  <c r="D399" i="4"/>
  <c r="A400" i="4"/>
  <c r="A401" i="4"/>
  <c r="A402" i="4"/>
  <c r="A403" i="4"/>
  <c r="D403" i="4"/>
  <c r="A404" i="4"/>
  <c r="A405" i="4"/>
  <c r="A406" i="4"/>
  <c r="D406" i="4"/>
  <c r="A407" i="4"/>
  <c r="D407" i="4"/>
  <c r="A408" i="4"/>
  <c r="A409" i="4"/>
  <c r="A410" i="4"/>
  <c r="D410" i="4"/>
  <c r="A411" i="4"/>
  <c r="A412" i="4"/>
  <c r="D412" i="4"/>
  <c r="A413" i="4"/>
  <c r="D413" i="4"/>
  <c r="A414" i="4"/>
  <c r="A415" i="4"/>
  <c r="A416" i="4"/>
  <c r="D416" i="4"/>
  <c r="A417" i="4"/>
  <c r="D417" i="4"/>
  <c r="A418" i="4"/>
  <c r="A419" i="4"/>
  <c r="A420" i="4"/>
  <c r="A421" i="4"/>
  <c r="A422" i="4"/>
  <c r="A423" i="4"/>
  <c r="A424" i="4"/>
  <c r="A425" i="4"/>
  <c r="A426" i="4"/>
  <c r="A427" i="4"/>
  <c r="A428" i="4"/>
  <c r="A429" i="4"/>
  <c r="A430" i="4"/>
  <c r="A431" i="4"/>
  <c r="A432" i="4"/>
  <c r="A433" i="4"/>
  <c r="A434" i="4"/>
  <c r="A435" i="4"/>
  <c r="A436" i="4"/>
  <c r="A437" i="4"/>
  <c r="A438" i="4"/>
  <c r="A439" i="4"/>
  <c r="A440" i="4"/>
  <c r="A441" i="4"/>
  <c r="A442" i="4"/>
  <c r="A443" i="4"/>
  <c r="A444" i="4"/>
  <c r="A445" i="4"/>
  <c r="A446" i="4"/>
  <c r="A447" i="4"/>
  <c r="A448" i="4"/>
  <c r="A449" i="4"/>
  <c r="A450" i="4"/>
  <c r="A451" i="4"/>
  <c r="A452" i="4"/>
  <c r="A453" i="4"/>
  <c r="A454" i="4"/>
  <c r="A455" i="4"/>
  <c r="A456" i="4"/>
  <c r="A457" i="4"/>
  <c r="A458" i="4"/>
  <c r="A459" i="4"/>
  <c r="A460" i="4"/>
  <c r="A461" i="4"/>
  <c r="A462" i="4"/>
  <c r="A463" i="4"/>
  <c r="A464" i="4"/>
  <c r="A465" i="4"/>
  <c r="A466" i="4"/>
  <c r="A467" i="4"/>
  <c r="A468" i="4"/>
  <c r="A469" i="4"/>
  <c r="A470" i="4"/>
  <c r="A471" i="4"/>
  <c r="A472" i="4"/>
  <c r="A473" i="4"/>
  <c r="A474" i="4"/>
  <c r="A475" i="4"/>
  <c r="A476" i="4"/>
  <c r="A477" i="4"/>
  <c r="A478" i="4"/>
  <c r="A479" i="4"/>
  <c r="A480" i="4"/>
  <c r="A481" i="4"/>
  <c r="A482" i="4"/>
  <c r="A483" i="4"/>
  <c r="A484" i="4"/>
  <c r="A485" i="4"/>
  <c r="A486" i="4"/>
  <c r="A487" i="4"/>
  <c r="A488" i="4"/>
  <c r="A489" i="4"/>
  <c r="A490" i="4"/>
  <c r="A491" i="4"/>
  <c r="A492" i="4"/>
  <c r="A493" i="4"/>
  <c r="A494" i="4"/>
  <c r="A495" i="4"/>
  <c r="A496" i="4"/>
  <c r="A497" i="4"/>
  <c r="A498" i="4"/>
  <c r="A499" i="4"/>
  <c r="A500" i="4"/>
  <c r="A501" i="4"/>
  <c r="A502" i="4"/>
  <c r="A503" i="4"/>
  <c r="A504" i="4"/>
  <c r="A505" i="4"/>
  <c r="A506" i="4"/>
  <c r="A507" i="4"/>
  <c r="A508" i="4"/>
  <c r="A509" i="4"/>
  <c r="A510" i="4"/>
  <c r="A511" i="4"/>
  <c r="A512" i="4"/>
  <c r="A513" i="4"/>
  <c r="A514" i="4"/>
  <c r="A515" i="4"/>
  <c r="A516" i="4"/>
  <c r="A517" i="4"/>
  <c r="A518" i="4"/>
  <c r="A519" i="4"/>
  <c r="D519" i="4"/>
  <c r="A520" i="4"/>
  <c r="D520" i="4"/>
  <c r="A521" i="4"/>
  <c r="A522" i="4"/>
  <c r="A523" i="4"/>
  <c r="A524" i="4"/>
  <c r="A525" i="4"/>
  <c r="A526" i="4"/>
  <c r="A527" i="4"/>
  <c r="A528" i="4"/>
  <c r="A529" i="4"/>
  <c r="A530" i="4"/>
  <c r="A531" i="4"/>
  <c r="A532" i="4"/>
  <c r="A533" i="4"/>
  <c r="A534" i="4"/>
  <c r="A535" i="4"/>
  <c r="A536" i="4"/>
  <c r="A537" i="4"/>
  <c r="A538" i="4"/>
  <c r="A539" i="4"/>
  <c r="A540" i="4"/>
  <c r="A541" i="4"/>
  <c r="A542" i="4"/>
  <c r="D542" i="4"/>
  <c r="D543" i="4" s="1"/>
  <c r="A543" i="4"/>
  <c r="A544" i="4"/>
  <c r="A545" i="4"/>
  <c r="A546" i="4"/>
  <c r="A547" i="4"/>
  <c r="D516" i="4" l="1"/>
  <c r="D414" i="4"/>
  <c r="M228" i="1"/>
  <c r="J228" i="1"/>
  <c r="M225" i="1"/>
  <c r="J225" i="1"/>
  <c r="M222" i="1"/>
  <c r="J222" i="1"/>
  <c r="M219" i="1"/>
  <c r="J219" i="1"/>
  <c r="M216" i="1"/>
  <c r="J216" i="1"/>
  <c r="M213" i="1"/>
  <c r="J213" i="1"/>
  <c r="L15" i="1"/>
  <c r="J15" i="1"/>
  <c r="H15" i="1"/>
  <c r="I15" i="1" s="1"/>
  <c r="A15" i="1"/>
  <c r="L15" i="3"/>
  <c r="J15" i="3"/>
  <c r="K15" i="3" s="1"/>
  <c r="H15" i="3"/>
  <c r="I15" i="3" s="1"/>
  <c r="A15" i="3"/>
  <c r="M88" i="3"/>
  <c r="J88" i="3"/>
  <c r="L85" i="3"/>
  <c r="J85" i="3"/>
  <c r="M82" i="3"/>
  <c r="L82" i="3"/>
  <c r="J82" i="3"/>
  <c r="M80" i="3"/>
  <c r="L80" i="3"/>
  <c r="J80" i="3"/>
  <c r="J77" i="3"/>
  <c r="M77" i="3" s="1"/>
  <c r="J76" i="3"/>
  <c r="M76" i="3" s="1"/>
  <c r="L74" i="3"/>
  <c r="J74" i="3"/>
  <c r="M71" i="3"/>
  <c r="L71" i="3"/>
  <c r="J71" i="3"/>
  <c r="M70" i="3"/>
  <c r="L70" i="3"/>
  <c r="J70" i="3"/>
  <c r="M69" i="3"/>
  <c r="L69" i="3"/>
  <c r="J69" i="3"/>
  <c r="M68" i="3"/>
  <c r="L68" i="3"/>
  <c r="J68" i="3"/>
  <c r="M65" i="3"/>
  <c r="L65" i="3"/>
  <c r="J65" i="3"/>
  <c r="M64" i="3"/>
  <c r="L64" i="3"/>
  <c r="J64" i="3"/>
  <c r="M63" i="3"/>
  <c r="L63" i="3"/>
  <c r="J63" i="3"/>
  <c r="M62" i="3"/>
  <c r="L62" i="3"/>
  <c r="J62" i="3"/>
  <c r="J59" i="3"/>
  <c r="L59" i="3"/>
  <c r="M59" i="3"/>
  <c r="M58" i="3"/>
  <c r="L58" i="3"/>
  <c r="J58" i="3"/>
  <c r="M57" i="3"/>
  <c r="L57" i="3"/>
  <c r="J57" i="3"/>
  <c r="M56" i="3"/>
  <c r="L56" i="3"/>
  <c r="J56" i="3"/>
  <c r="J52" i="3"/>
  <c r="L52" i="3"/>
  <c r="M52" i="3"/>
  <c r="M53" i="3"/>
  <c r="L53" i="3"/>
  <c r="J53" i="3"/>
  <c r="M51" i="3"/>
  <c r="L51" i="3"/>
  <c r="J51" i="3"/>
  <c r="M50" i="3"/>
  <c r="L50" i="3"/>
  <c r="J50" i="3"/>
  <c r="M49" i="3"/>
  <c r="L49" i="3"/>
  <c r="J49" i="3"/>
  <c r="L291" i="3"/>
  <c r="L287" i="3"/>
  <c r="L286" i="3"/>
  <c r="L282" i="3"/>
  <c r="L281" i="3"/>
  <c r="L276" i="3"/>
  <c r="M266" i="3"/>
  <c r="J266" i="3"/>
  <c r="M263" i="3"/>
  <c r="J263" i="3"/>
  <c r="L263" i="3"/>
  <c r="M260" i="3"/>
  <c r="L260" i="3"/>
  <c r="J260" i="3"/>
  <c r="L255" i="3"/>
  <c r="J255" i="3"/>
  <c r="L256" i="3"/>
  <c r="J256" i="3"/>
  <c r="M251" i="3"/>
  <c r="L251" i="3"/>
  <c r="J251" i="3"/>
  <c r="J248" i="3"/>
  <c r="L248" i="3"/>
  <c r="M248" i="3"/>
  <c r="M247" i="3"/>
  <c r="J247" i="3"/>
  <c r="L247" i="3"/>
  <c r="M244" i="3"/>
  <c r="M243" i="3"/>
  <c r="J244" i="3"/>
  <c r="J243" i="3"/>
  <c r="J240" i="3"/>
  <c r="J239" i="3"/>
  <c r="J238" i="3"/>
  <c r="J235" i="3"/>
  <c r="J234" i="3"/>
  <c r="M227" i="3"/>
  <c r="L227" i="3"/>
  <c r="J227" i="3"/>
  <c r="M226" i="3"/>
  <c r="L226" i="3"/>
  <c r="J226" i="3"/>
  <c r="M230" i="3"/>
  <c r="L230" i="3"/>
  <c r="J230" i="3"/>
  <c r="M229" i="3"/>
  <c r="L229" i="3"/>
  <c r="J229" i="3"/>
  <c r="L223" i="3"/>
  <c r="J223" i="3"/>
  <c r="L222" i="3"/>
  <c r="J222" i="3"/>
  <c r="M107" i="3"/>
  <c r="L107" i="3"/>
  <c r="J107" i="3"/>
  <c r="M106" i="3"/>
  <c r="L106" i="3"/>
  <c r="J106" i="3"/>
  <c r="M162" i="3"/>
  <c r="L162" i="3"/>
  <c r="J162" i="3"/>
  <c r="M161" i="3"/>
  <c r="L161" i="3"/>
  <c r="J161" i="3"/>
  <c r="M219" i="3"/>
  <c r="M218" i="3"/>
  <c r="J219" i="3"/>
  <c r="J218" i="3"/>
  <c r="L219" i="3"/>
  <c r="L218" i="3"/>
  <c r="M217" i="3"/>
  <c r="L217" i="3"/>
  <c r="J217" i="3"/>
  <c r="M216" i="3"/>
  <c r="L216" i="3"/>
  <c r="J216" i="3"/>
  <c r="M213" i="3"/>
  <c r="L213" i="3"/>
  <c r="J213" i="3"/>
  <c r="M212" i="3"/>
  <c r="L212" i="3"/>
  <c r="J212" i="3"/>
  <c r="M211" i="3"/>
  <c r="L211" i="3"/>
  <c r="J211" i="3"/>
  <c r="M210" i="3"/>
  <c r="L210" i="3"/>
  <c r="J210" i="3"/>
  <c r="M207" i="3"/>
  <c r="L207" i="3"/>
  <c r="J207" i="3"/>
  <c r="M206" i="3"/>
  <c r="L206" i="3"/>
  <c r="J206" i="3"/>
  <c r="M205" i="3"/>
  <c r="L205" i="3"/>
  <c r="J205" i="3"/>
  <c r="M202" i="3"/>
  <c r="L202" i="3"/>
  <c r="J202" i="3"/>
  <c r="M201" i="3"/>
  <c r="L201" i="3"/>
  <c r="J201" i="3"/>
  <c r="M200" i="3"/>
  <c r="L200" i="3"/>
  <c r="J200" i="3"/>
  <c r="M199" i="3"/>
  <c r="L199" i="3"/>
  <c r="J199" i="3"/>
  <c r="M194" i="3"/>
  <c r="L194" i="3"/>
  <c r="J194" i="3"/>
  <c r="M191" i="3"/>
  <c r="L191" i="3"/>
  <c r="J191" i="3"/>
  <c r="J179" i="3"/>
  <c r="M179" i="3" s="1"/>
  <c r="L188" i="3"/>
  <c r="J188" i="3"/>
  <c r="L187" i="3"/>
  <c r="J187" i="3"/>
  <c r="L186" i="3"/>
  <c r="J186" i="3"/>
  <c r="L185" i="3"/>
  <c r="J185" i="3"/>
  <c r="L184" i="3"/>
  <c r="J184" i="3"/>
  <c r="L183" i="3"/>
  <c r="J183" i="3"/>
  <c r="L182" i="3"/>
  <c r="J182" i="3"/>
  <c r="M176" i="3"/>
  <c r="L176" i="3"/>
  <c r="J176" i="3"/>
  <c r="M174" i="3"/>
  <c r="L174" i="3"/>
  <c r="J174" i="3"/>
  <c r="M173" i="3"/>
  <c r="L173" i="3"/>
  <c r="J173" i="3"/>
  <c r="M172" i="3"/>
  <c r="L172" i="3"/>
  <c r="J172" i="3"/>
  <c r="J169" i="3"/>
  <c r="J168" i="3"/>
  <c r="J167" i="3"/>
  <c r="J166" i="3"/>
  <c r="L165" i="3"/>
  <c r="J165" i="3"/>
  <c r="M156" i="3"/>
  <c r="L156" i="3"/>
  <c r="J156" i="3"/>
  <c r="M155" i="3"/>
  <c r="L155" i="3"/>
  <c r="J155" i="3"/>
  <c r="M154" i="3"/>
  <c r="L154" i="3"/>
  <c r="J154" i="3"/>
  <c r="M160" i="3"/>
  <c r="L160" i="3"/>
  <c r="J160" i="3"/>
  <c r="M159" i="3"/>
  <c r="L159" i="3"/>
  <c r="J159" i="3"/>
  <c r="M151" i="3"/>
  <c r="L151" i="3"/>
  <c r="J151" i="3"/>
  <c r="M150" i="3"/>
  <c r="L150" i="3"/>
  <c r="J150" i="3"/>
  <c r="M149" i="3"/>
  <c r="L149" i="3"/>
  <c r="J149" i="3"/>
  <c r="M146" i="3"/>
  <c r="L146" i="3"/>
  <c r="J146" i="3"/>
  <c r="M145" i="3"/>
  <c r="L145" i="3"/>
  <c r="J145" i="3"/>
  <c r="M144" i="3"/>
  <c r="L144" i="3"/>
  <c r="J144" i="3"/>
  <c r="M143" i="3"/>
  <c r="L143" i="3"/>
  <c r="J143" i="3"/>
  <c r="M138" i="3"/>
  <c r="J138" i="3"/>
  <c r="M135" i="3"/>
  <c r="J135" i="3"/>
  <c r="J132" i="3"/>
  <c r="J131" i="3"/>
  <c r="J130" i="3"/>
  <c r="J129" i="3"/>
  <c r="J128" i="3"/>
  <c r="J127" i="3"/>
  <c r="J126" i="3"/>
  <c r="M123" i="3"/>
  <c r="J123" i="3"/>
  <c r="M121" i="3"/>
  <c r="M120" i="3"/>
  <c r="M119" i="3"/>
  <c r="J121" i="3"/>
  <c r="J120" i="3"/>
  <c r="J119" i="3"/>
  <c r="J116" i="3"/>
  <c r="J115" i="3"/>
  <c r="J114" i="3"/>
  <c r="J113" i="3"/>
  <c r="J112" i="3"/>
  <c r="J111" i="3"/>
  <c r="J110" i="3"/>
  <c r="M105" i="3"/>
  <c r="J105" i="3"/>
  <c r="M104" i="3"/>
  <c r="L104" i="3"/>
  <c r="J104" i="3"/>
  <c r="J101" i="3"/>
  <c r="J100" i="3"/>
  <c r="M101" i="3"/>
  <c r="M100" i="3"/>
  <c r="M99" i="3"/>
  <c r="J99" i="3"/>
  <c r="L99" i="3"/>
  <c r="M95" i="3"/>
  <c r="M94" i="3"/>
  <c r="M93" i="3"/>
  <c r="M96" i="3"/>
  <c r="J96" i="3"/>
  <c r="J95" i="3"/>
  <c r="J94" i="3"/>
  <c r="J93" i="3"/>
  <c r="L266" i="3"/>
  <c r="L244" i="3"/>
  <c r="L243" i="3"/>
  <c r="L240" i="3"/>
  <c r="L239" i="3"/>
  <c r="L238" i="3"/>
  <c r="L235" i="3"/>
  <c r="L234" i="3"/>
  <c r="L179" i="3"/>
  <c r="L169" i="3"/>
  <c r="L168" i="3"/>
  <c r="L167" i="3"/>
  <c r="L166" i="3"/>
  <c r="L138" i="3"/>
  <c r="L135" i="3"/>
  <c r="L132" i="3"/>
  <c r="L131" i="3"/>
  <c r="L130" i="3"/>
  <c r="L129" i="3"/>
  <c r="L128" i="3"/>
  <c r="L127" i="3"/>
  <c r="L126" i="3"/>
  <c r="L123" i="3"/>
  <c r="L121" i="3"/>
  <c r="L120" i="3"/>
  <c r="L119" i="3"/>
  <c r="L116" i="3"/>
  <c r="L115" i="3"/>
  <c r="L114" i="3"/>
  <c r="L113" i="3"/>
  <c r="L112" i="3"/>
  <c r="L111" i="3"/>
  <c r="L110" i="3"/>
  <c r="L105" i="3"/>
  <c r="L101" i="3"/>
  <c r="L100" i="3"/>
  <c r="L96" i="3"/>
  <c r="L95" i="3"/>
  <c r="L94" i="3"/>
  <c r="L93" i="3"/>
  <c r="L88" i="3"/>
  <c r="L77" i="3"/>
  <c r="L76" i="3"/>
  <c r="L28" i="3"/>
  <c r="L27" i="3"/>
  <c r="L26" i="3"/>
  <c r="L25" i="3"/>
  <c r="L32" i="3"/>
  <c r="K15" i="1" l="1"/>
  <c r="M85" i="3"/>
  <c r="L250" i="1" l="1"/>
  <c r="L202" i="1"/>
  <c r="L203" i="1"/>
  <c r="L204" i="1"/>
  <c r="L205" i="1"/>
  <c r="L195" i="1"/>
  <c r="L196" i="1"/>
  <c r="L197" i="1"/>
  <c r="L198" i="1"/>
  <c r="L184" i="1"/>
  <c r="L185" i="1"/>
  <c r="L186" i="1"/>
  <c r="L187" i="1"/>
  <c r="L188" i="1"/>
  <c r="L189" i="1"/>
  <c r="L190" i="1"/>
  <c r="L174" i="1"/>
  <c r="L175" i="1"/>
  <c r="L176" i="1"/>
  <c r="L177" i="1"/>
  <c r="L178" i="1"/>
  <c r="L179" i="1"/>
  <c r="L180" i="1"/>
  <c r="L168" i="1"/>
  <c r="L161" i="1"/>
  <c r="L160" i="1"/>
  <c r="L159" i="1"/>
  <c r="M157" i="1"/>
  <c r="L157" i="1"/>
  <c r="J157" i="1"/>
  <c r="M156" i="1"/>
  <c r="L156" i="1"/>
  <c r="J156" i="1"/>
  <c r="M155" i="1"/>
  <c r="J155" i="1"/>
  <c r="L155" i="1"/>
  <c r="M151" i="1"/>
  <c r="J151" i="1"/>
  <c r="M152" i="1"/>
  <c r="J152" i="1"/>
  <c r="J149" i="1"/>
  <c r="M149" i="1"/>
  <c r="M150" i="1"/>
  <c r="J150" i="1"/>
  <c r="M148" i="1"/>
  <c r="M147" i="1"/>
  <c r="J147" i="1"/>
  <c r="J148" i="1"/>
  <c r="M140" i="1"/>
  <c r="J140" i="1"/>
  <c r="M134" i="1"/>
  <c r="M133" i="1"/>
  <c r="M132" i="1"/>
  <c r="M131" i="1"/>
  <c r="J134" i="1"/>
  <c r="J133" i="1"/>
  <c r="J132" i="1"/>
  <c r="J131" i="1"/>
  <c r="M125" i="1"/>
  <c r="M124" i="1"/>
  <c r="M123" i="1"/>
  <c r="M122" i="1"/>
  <c r="M121" i="1"/>
  <c r="M120" i="1"/>
  <c r="M119" i="1"/>
  <c r="M118" i="1"/>
  <c r="J125" i="1"/>
  <c r="J124" i="1"/>
  <c r="J123" i="1"/>
  <c r="J122" i="1"/>
  <c r="J121" i="1"/>
  <c r="J120" i="1"/>
  <c r="J119" i="1"/>
  <c r="J118" i="1"/>
  <c r="L81" i="1"/>
  <c r="L164" i="1"/>
  <c r="L148" i="1"/>
  <c r="L149" i="1"/>
  <c r="L150" i="1"/>
  <c r="L151" i="1"/>
  <c r="L152" i="1"/>
  <c r="L147" i="1"/>
  <c r="L12" i="1"/>
  <c r="L13" i="1"/>
  <c r="L14" i="1"/>
  <c r="L11" i="1"/>
  <c r="L531" i="1"/>
  <c r="L528" i="1"/>
  <c r="L527" i="1"/>
  <c r="L524" i="1"/>
  <c r="L521" i="1"/>
  <c r="L518" i="1"/>
  <c r="L517" i="1"/>
  <c r="L512" i="1"/>
  <c r="L509" i="1"/>
  <c r="L508" i="1"/>
  <c r="L503" i="1"/>
  <c r="L502" i="1"/>
  <c r="L499" i="1"/>
  <c r="L444" i="1"/>
  <c r="L483" i="1" s="1"/>
  <c r="L400" i="1"/>
  <c r="L417" i="1" s="1"/>
  <c r="L278" i="1"/>
  <c r="L274" i="1"/>
  <c r="L286" i="1" s="1"/>
  <c r="L298" i="1"/>
  <c r="L393" i="1" s="1"/>
  <c r="L277" i="1" l="1"/>
  <c r="L284" i="1"/>
  <c r="L290" i="1"/>
  <c r="L446" i="1"/>
  <c r="L452" i="1"/>
  <c r="L461" i="1"/>
  <c r="L471" i="1"/>
  <c r="L481" i="1"/>
  <c r="L493" i="1"/>
  <c r="L279" i="1"/>
  <c r="L285" i="1"/>
  <c r="L295" i="1"/>
  <c r="L456" i="1"/>
  <c r="L449" i="1"/>
  <c r="L464" i="1"/>
  <c r="L476" i="1"/>
  <c r="L484" i="1"/>
  <c r="L288" i="1"/>
  <c r="L455" i="1"/>
  <c r="L448" i="1"/>
  <c r="L465" i="1"/>
  <c r="L477" i="1"/>
  <c r="L485" i="1"/>
  <c r="L282" i="1"/>
  <c r="L289" i="1"/>
  <c r="L453" i="1"/>
  <c r="L447" i="1"/>
  <c r="L468" i="1"/>
  <c r="L478" i="1"/>
  <c r="L488" i="1"/>
  <c r="L320" i="1"/>
  <c r="L379" i="1"/>
  <c r="L348" i="1"/>
  <c r="L390" i="1"/>
  <c r="L349" i="1"/>
  <c r="L372" i="1"/>
  <c r="L392" i="1"/>
  <c r="L309" i="1"/>
  <c r="L323" i="1"/>
  <c r="L337" i="1"/>
  <c r="L350" i="1"/>
  <c r="L361" i="1"/>
  <c r="L373" i="1"/>
  <c r="L382" i="1"/>
  <c r="L281" i="1"/>
  <c r="L292" i="1"/>
  <c r="L454" i="1"/>
  <c r="L459" i="1"/>
  <c r="L469" i="1"/>
  <c r="L479" i="1"/>
  <c r="L489" i="1"/>
  <c r="L302" i="1"/>
  <c r="L328" i="1"/>
  <c r="L313" i="1"/>
  <c r="L312" i="1"/>
  <c r="L325" i="1"/>
  <c r="L339" i="1"/>
  <c r="L303" i="1"/>
  <c r="L380" i="1"/>
  <c r="L336" i="1"/>
  <c r="L381" i="1"/>
  <c r="L310" i="1"/>
  <c r="L326" i="1"/>
  <c r="L341" i="1"/>
  <c r="L351" i="1"/>
  <c r="L364" i="1"/>
  <c r="L374" i="1"/>
  <c r="L383" i="1"/>
  <c r="L394" i="1"/>
  <c r="L294" i="1"/>
  <c r="L460" i="1"/>
  <c r="L470" i="1"/>
  <c r="L480" i="1"/>
  <c r="L490" i="1"/>
  <c r="L369" i="1"/>
  <c r="L335" i="1"/>
  <c r="L334" i="1"/>
  <c r="L358" i="1"/>
  <c r="L322" i="1"/>
  <c r="L314" i="1"/>
  <c r="L343" i="1"/>
  <c r="L352" i="1"/>
  <c r="L376" i="1"/>
  <c r="L396" i="1"/>
  <c r="L315" i="1"/>
  <c r="L332" i="1"/>
  <c r="L344" i="1"/>
  <c r="L353" i="1"/>
  <c r="L366" i="1"/>
  <c r="L377" i="1"/>
  <c r="L386" i="1"/>
  <c r="L397" i="1"/>
  <c r="L451" i="1"/>
  <c r="L462" i="1"/>
  <c r="L472" i="1"/>
  <c r="L482" i="1"/>
  <c r="L347" i="1"/>
  <c r="L389" i="1"/>
  <c r="L321" i="1"/>
  <c r="L371" i="1"/>
  <c r="L305" i="1"/>
  <c r="L360" i="1"/>
  <c r="L331" i="1"/>
  <c r="L365" i="1"/>
  <c r="L385" i="1"/>
  <c r="L319" i="1"/>
  <c r="L333" i="1"/>
  <c r="L346" i="1"/>
  <c r="L355" i="1"/>
  <c r="L367" i="1"/>
  <c r="L378" i="1"/>
  <c r="L387" i="1"/>
  <c r="L450" i="1"/>
  <c r="L463" i="1"/>
  <c r="L475" i="1"/>
  <c r="L357" i="1"/>
  <c r="F92" i="1"/>
  <c r="I92" i="1" s="1"/>
  <c r="H121" i="1"/>
  <c r="I121" i="1" s="1"/>
  <c r="H122" i="1"/>
  <c r="I122" i="1" s="1"/>
  <c r="H123" i="1"/>
  <c r="I123" i="1" s="1"/>
  <c r="H124" i="1"/>
  <c r="I124" i="1" s="1"/>
  <c r="H125" i="1"/>
  <c r="I125" i="1" s="1"/>
  <c r="I292" i="1"/>
  <c r="N292" i="1" s="1"/>
  <c r="I290" i="1"/>
  <c r="I289" i="1"/>
  <c r="N289" i="1" s="1"/>
  <c r="I288" i="1"/>
  <c r="K288" i="1" s="1"/>
  <c r="I286" i="1"/>
  <c r="N286" i="1" s="1"/>
  <c r="I285" i="1"/>
  <c r="K285" i="1" s="1"/>
  <c r="I284" i="1"/>
  <c r="I282" i="1"/>
  <c r="I281" i="1"/>
  <c r="I279" i="1"/>
  <c r="I278" i="1"/>
  <c r="K278" i="1" s="1"/>
  <c r="I531" i="1"/>
  <c r="I524" i="1"/>
  <c r="N524" i="1" s="1"/>
  <c r="I521" i="1"/>
  <c r="N521" i="1" s="1"/>
  <c r="I518" i="1"/>
  <c r="N518" i="1" s="1"/>
  <c r="K517" i="1"/>
  <c r="I517" i="1"/>
  <c r="N517" i="1" s="1"/>
  <c r="I512" i="1"/>
  <c r="I493" i="1"/>
  <c r="K493" i="1" s="1"/>
  <c r="Q492" i="1"/>
  <c r="P492" i="1"/>
  <c r="O492" i="1"/>
  <c r="N492" i="1"/>
  <c r="M492" i="1"/>
  <c r="L492" i="1"/>
  <c r="K492" i="1"/>
  <c r="J492" i="1"/>
  <c r="I492" i="1"/>
  <c r="Q491" i="1"/>
  <c r="P491" i="1"/>
  <c r="O491" i="1"/>
  <c r="N491" i="1"/>
  <c r="M491" i="1"/>
  <c r="L491" i="1"/>
  <c r="K491" i="1"/>
  <c r="J491" i="1"/>
  <c r="I491" i="1"/>
  <c r="I490" i="1"/>
  <c r="I489" i="1"/>
  <c r="I488" i="1"/>
  <c r="K488" i="1" s="1"/>
  <c r="Q487" i="1"/>
  <c r="P487" i="1"/>
  <c r="O487" i="1"/>
  <c r="N487" i="1"/>
  <c r="M487" i="1"/>
  <c r="L487" i="1"/>
  <c r="K487" i="1"/>
  <c r="I487" i="1"/>
  <c r="Q486" i="1"/>
  <c r="P486" i="1"/>
  <c r="O486" i="1"/>
  <c r="N486" i="1"/>
  <c r="M486" i="1"/>
  <c r="L486" i="1"/>
  <c r="K486" i="1"/>
  <c r="I486" i="1"/>
  <c r="I485" i="1"/>
  <c r="I484" i="1"/>
  <c r="I483" i="1"/>
  <c r="I482" i="1"/>
  <c r="I481" i="1"/>
  <c r="K481" i="1" s="1"/>
  <c r="I480" i="1"/>
  <c r="K480" i="1" s="1"/>
  <c r="I479" i="1"/>
  <c r="K479" i="1" s="1"/>
  <c r="I478" i="1"/>
  <c r="I477" i="1"/>
  <c r="N477" i="1" s="1"/>
  <c r="I476" i="1"/>
  <c r="K476" i="1" s="1"/>
  <c r="N475" i="1"/>
  <c r="I475" i="1"/>
  <c r="K475" i="1" s="1"/>
  <c r="Q474" i="1"/>
  <c r="P474" i="1"/>
  <c r="O474" i="1"/>
  <c r="N474" i="1"/>
  <c r="M474" i="1"/>
  <c r="L474" i="1"/>
  <c r="K474" i="1"/>
  <c r="I474" i="1"/>
  <c r="Q473" i="1"/>
  <c r="P473" i="1"/>
  <c r="O473" i="1"/>
  <c r="N473" i="1"/>
  <c r="M473" i="1"/>
  <c r="L473" i="1"/>
  <c r="K473" i="1"/>
  <c r="I473" i="1"/>
  <c r="I472" i="1"/>
  <c r="N472" i="1" s="1"/>
  <c r="I471" i="1"/>
  <c r="I470" i="1"/>
  <c r="I469" i="1"/>
  <c r="N469" i="1" s="1"/>
  <c r="I468" i="1"/>
  <c r="Q467" i="1"/>
  <c r="P467" i="1"/>
  <c r="O467" i="1"/>
  <c r="N467" i="1"/>
  <c r="M467" i="1"/>
  <c r="L467" i="1"/>
  <c r="K467" i="1"/>
  <c r="I467" i="1"/>
  <c r="Q466" i="1"/>
  <c r="P466" i="1"/>
  <c r="O466" i="1"/>
  <c r="N466" i="1"/>
  <c r="M466" i="1"/>
  <c r="L466" i="1"/>
  <c r="K466" i="1"/>
  <c r="I466" i="1"/>
  <c r="I465" i="1"/>
  <c r="I464" i="1"/>
  <c r="I463" i="1"/>
  <c r="I462" i="1"/>
  <c r="I461" i="1"/>
  <c r="N461" i="1" s="1"/>
  <c r="I460" i="1"/>
  <c r="N460" i="1" s="1"/>
  <c r="I459" i="1"/>
  <c r="Q458" i="1"/>
  <c r="P458" i="1"/>
  <c r="O458" i="1"/>
  <c r="N458" i="1"/>
  <c r="M458" i="1"/>
  <c r="L458" i="1"/>
  <c r="K458" i="1"/>
  <c r="I458" i="1"/>
  <c r="Q457" i="1"/>
  <c r="P457" i="1"/>
  <c r="O457" i="1"/>
  <c r="N457" i="1"/>
  <c r="M457" i="1"/>
  <c r="L457" i="1"/>
  <c r="K457" i="1"/>
  <c r="I457" i="1"/>
  <c r="I456" i="1"/>
  <c r="N456" i="1" s="1"/>
  <c r="I455" i="1"/>
  <c r="I454" i="1"/>
  <c r="K454" i="1" s="1"/>
  <c r="I453" i="1"/>
  <c r="N453" i="1" s="1"/>
  <c r="I452" i="1"/>
  <c r="K452" i="1" s="1"/>
  <c r="I451" i="1"/>
  <c r="N451" i="1" s="1"/>
  <c r="I450" i="1"/>
  <c r="I449" i="1"/>
  <c r="I448" i="1"/>
  <c r="K447" i="1"/>
  <c r="I447" i="1"/>
  <c r="I446" i="1"/>
  <c r="K446" i="1" s="1"/>
  <c r="A12" i="1"/>
  <c r="A13" i="1"/>
  <c r="A14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F157" i="1"/>
  <c r="F156" i="1"/>
  <c r="F155" i="1"/>
  <c r="F152" i="1"/>
  <c r="F151" i="1"/>
  <c r="I151" i="1" s="1"/>
  <c r="F150" i="1"/>
  <c r="F149" i="1"/>
  <c r="F148" i="1"/>
  <c r="F147" i="1"/>
  <c r="Q145" i="1"/>
  <c r="P145" i="1"/>
  <c r="O145" i="1"/>
  <c r="N145" i="1"/>
  <c r="M145" i="1"/>
  <c r="L145" i="1"/>
  <c r="K145" i="1"/>
  <c r="J145" i="1"/>
  <c r="I145" i="1"/>
  <c r="H145" i="1"/>
  <c r="A12" i="3"/>
  <c r="A13" i="3"/>
  <c r="A14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5" i="3"/>
  <c r="A36" i="3"/>
  <c r="A37" i="3"/>
  <c r="A38" i="3"/>
  <c r="A39" i="3"/>
  <c r="A40" i="3"/>
  <c r="A41" i="3"/>
  <c r="A42" i="3"/>
  <c r="A43" i="3"/>
  <c r="A44" i="3"/>
  <c r="A45" i="3"/>
  <c r="A46" i="3"/>
  <c r="A47" i="3"/>
  <c r="A48" i="3"/>
  <c r="A49" i="3"/>
  <c r="A50" i="3"/>
  <c r="A51" i="3"/>
  <c r="A52" i="3"/>
  <c r="A53" i="3"/>
  <c r="A54" i="3"/>
  <c r="A55" i="3"/>
  <c r="A56" i="3"/>
  <c r="A57" i="3"/>
  <c r="A58" i="3"/>
  <c r="A59" i="3"/>
  <c r="A60" i="3"/>
  <c r="A61" i="3"/>
  <c r="A62" i="3"/>
  <c r="A63" i="3"/>
  <c r="A64" i="3"/>
  <c r="A65" i="3"/>
  <c r="A66" i="3"/>
  <c r="A67" i="3"/>
  <c r="A68" i="3"/>
  <c r="A69" i="3"/>
  <c r="A70" i="3"/>
  <c r="A71" i="3"/>
  <c r="A72" i="3"/>
  <c r="A73" i="3"/>
  <c r="A74" i="3"/>
  <c r="A75" i="3"/>
  <c r="A76" i="3"/>
  <c r="A77" i="3"/>
  <c r="A78" i="3"/>
  <c r="A79" i="3"/>
  <c r="A80" i="3"/>
  <c r="A81" i="3"/>
  <c r="A82" i="3"/>
  <c r="A83" i="3"/>
  <c r="A84" i="3"/>
  <c r="A85" i="3"/>
  <c r="A86" i="3"/>
  <c r="A87" i="3"/>
  <c r="A88" i="3"/>
  <c r="A89" i="3"/>
  <c r="A90" i="3"/>
  <c r="A91" i="3"/>
  <c r="A92" i="3"/>
  <c r="A93" i="3"/>
  <c r="A94" i="3"/>
  <c r="A95" i="3"/>
  <c r="A96" i="3"/>
  <c r="A97" i="3"/>
  <c r="A98" i="3"/>
  <c r="A99" i="3"/>
  <c r="A100" i="3"/>
  <c r="A101" i="3"/>
  <c r="A102" i="3"/>
  <c r="A103" i="3"/>
  <c r="A104" i="3"/>
  <c r="A105" i="3"/>
  <c r="A106" i="3"/>
  <c r="A107" i="3"/>
  <c r="A108" i="3"/>
  <c r="A109" i="3"/>
  <c r="A110" i="3"/>
  <c r="A111" i="3"/>
  <c r="A112" i="3"/>
  <c r="A113" i="3"/>
  <c r="A114" i="3"/>
  <c r="A115" i="3"/>
  <c r="A116" i="3"/>
  <c r="A117" i="3"/>
  <c r="A118" i="3"/>
  <c r="A119" i="3"/>
  <c r="A120" i="3"/>
  <c r="A121" i="3"/>
  <c r="A122" i="3"/>
  <c r="A123" i="3"/>
  <c r="A124" i="3"/>
  <c r="A125" i="3"/>
  <c r="A126" i="3"/>
  <c r="A127" i="3"/>
  <c r="A128" i="3"/>
  <c r="A129" i="3"/>
  <c r="A130" i="3"/>
  <c r="A131" i="3"/>
  <c r="A132" i="3"/>
  <c r="A133" i="3"/>
  <c r="A134" i="3"/>
  <c r="A135" i="3"/>
  <c r="A136" i="3"/>
  <c r="A137" i="3"/>
  <c r="A138" i="3"/>
  <c r="A139" i="3"/>
  <c r="A140" i="3"/>
  <c r="A141" i="3"/>
  <c r="A142" i="3"/>
  <c r="A143" i="3"/>
  <c r="A144" i="3"/>
  <c r="A145" i="3"/>
  <c r="A146" i="3"/>
  <c r="A147" i="3"/>
  <c r="A148" i="3"/>
  <c r="A149" i="3"/>
  <c r="A150" i="3"/>
  <c r="A151" i="3"/>
  <c r="A152" i="3"/>
  <c r="A153" i="3"/>
  <c r="A154" i="3"/>
  <c r="A155" i="3"/>
  <c r="A156" i="3"/>
  <c r="A157" i="3"/>
  <c r="A158" i="3"/>
  <c r="A159" i="3"/>
  <c r="A160" i="3"/>
  <c r="A161" i="3"/>
  <c r="A162" i="3"/>
  <c r="A163" i="3"/>
  <c r="A164" i="3"/>
  <c r="A165" i="3"/>
  <c r="A166" i="3"/>
  <c r="A167" i="3"/>
  <c r="A168" i="3"/>
  <c r="A169" i="3"/>
  <c r="A170" i="3"/>
  <c r="A171" i="3"/>
  <c r="A172" i="3"/>
  <c r="A173" i="3"/>
  <c r="A174" i="3"/>
  <c r="A175" i="3"/>
  <c r="A176" i="3"/>
  <c r="A177" i="3"/>
  <c r="A178" i="3"/>
  <c r="A179" i="3"/>
  <c r="A180" i="3"/>
  <c r="A181" i="3"/>
  <c r="A182" i="3"/>
  <c r="A183" i="3"/>
  <c r="A184" i="3"/>
  <c r="A185" i="3"/>
  <c r="A186" i="3"/>
  <c r="A187" i="3"/>
  <c r="A188" i="3"/>
  <c r="A189" i="3"/>
  <c r="A190" i="3"/>
  <c r="A191" i="3"/>
  <c r="A192" i="3"/>
  <c r="A193" i="3"/>
  <c r="A194" i="3"/>
  <c r="A195" i="3"/>
  <c r="A196" i="3"/>
  <c r="A197" i="3"/>
  <c r="A198" i="3"/>
  <c r="A199" i="3"/>
  <c r="A200" i="3"/>
  <c r="A201" i="3"/>
  <c r="A202" i="3"/>
  <c r="A203" i="3"/>
  <c r="A204" i="3"/>
  <c r="A205" i="3"/>
  <c r="A206" i="3"/>
  <c r="A207" i="3"/>
  <c r="A208" i="3"/>
  <c r="A209" i="3"/>
  <c r="A210" i="3"/>
  <c r="A211" i="3"/>
  <c r="A212" i="3"/>
  <c r="A213" i="3"/>
  <c r="A214" i="3"/>
  <c r="A215" i="3"/>
  <c r="A216" i="3"/>
  <c r="A217" i="3"/>
  <c r="A218" i="3"/>
  <c r="A219" i="3"/>
  <c r="A220" i="3"/>
  <c r="A221" i="3"/>
  <c r="A222" i="3"/>
  <c r="A223" i="3"/>
  <c r="A224" i="3"/>
  <c r="A225" i="3"/>
  <c r="A226" i="3"/>
  <c r="A227" i="3"/>
  <c r="A228" i="3"/>
  <c r="A229" i="3"/>
  <c r="A230" i="3"/>
  <c r="A231" i="3"/>
  <c r="A232" i="3"/>
  <c r="A233" i="3"/>
  <c r="A234" i="3"/>
  <c r="A235" i="3"/>
  <c r="A236" i="3"/>
  <c r="A237" i="3"/>
  <c r="A238" i="3"/>
  <c r="A239" i="3"/>
  <c r="A240" i="3"/>
  <c r="A241" i="3"/>
  <c r="A242" i="3"/>
  <c r="A243" i="3"/>
  <c r="A244" i="3"/>
  <c r="A245" i="3"/>
  <c r="A246" i="3"/>
  <c r="A247" i="3"/>
  <c r="A248" i="3"/>
  <c r="A249" i="3"/>
  <c r="A250" i="3"/>
  <c r="A251" i="3"/>
  <c r="A252" i="3"/>
  <c r="A253" i="3"/>
  <c r="A254" i="3"/>
  <c r="A255" i="3"/>
  <c r="A256" i="3"/>
  <c r="A257" i="3"/>
  <c r="A258" i="3"/>
  <c r="A259" i="3"/>
  <c r="A260" i="3"/>
  <c r="A261" i="3"/>
  <c r="A262" i="3"/>
  <c r="A263" i="3"/>
  <c r="A264" i="3"/>
  <c r="A265" i="3"/>
  <c r="A266" i="3"/>
  <c r="A267" i="3"/>
  <c r="A268" i="3"/>
  <c r="A269" i="3"/>
  <c r="A270" i="3"/>
  <c r="A271" i="3"/>
  <c r="A272" i="3"/>
  <c r="A273" i="3"/>
  <c r="A274" i="3"/>
  <c r="A275" i="3"/>
  <c r="A276" i="3"/>
  <c r="A277" i="3"/>
  <c r="A278" i="3"/>
  <c r="A279" i="3"/>
  <c r="A280" i="3"/>
  <c r="A281" i="3"/>
  <c r="A282" i="3"/>
  <c r="A283" i="3"/>
  <c r="A284" i="3"/>
  <c r="A285" i="3"/>
  <c r="A286" i="3"/>
  <c r="A287" i="3"/>
  <c r="A288" i="3"/>
  <c r="A289" i="3"/>
  <c r="A290" i="3"/>
  <c r="A291" i="3"/>
  <c r="K266" i="3"/>
  <c r="I266" i="3"/>
  <c r="I256" i="3"/>
  <c r="I255" i="3"/>
  <c r="K255" i="3" s="1"/>
  <c r="I251" i="3"/>
  <c r="I244" i="3"/>
  <c r="N244" i="3" s="1"/>
  <c r="K243" i="3"/>
  <c r="I243" i="3"/>
  <c r="I239" i="3"/>
  <c r="K239" i="3" s="1"/>
  <c r="N238" i="3"/>
  <c r="I238" i="3"/>
  <c r="I235" i="3"/>
  <c r="K235" i="3" s="1"/>
  <c r="I234" i="3"/>
  <c r="K234" i="3" s="1"/>
  <c r="I230" i="3"/>
  <c r="K230" i="3" s="1"/>
  <c r="I229" i="3"/>
  <c r="K229" i="3" s="1"/>
  <c r="I227" i="3"/>
  <c r="K227" i="3" s="1"/>
  <c r="I226" i="3"/>
  <c r="I223" i="3"/>
  <c r="K223" i="3" s="1"/>
  <c r="I222" i="3"/>
  <c r="K222" i="3" s="1"/>
  <c r="I219" i="3"/>
  <c r="N218" i="3"/>
  <c r="I218" i="3"/>
  <c r="K218" i="3" s="1"/>
  <c r="I217" i="3"/>
  <c r="K217" i="3" s="1"/>
  <c r="I216" i="3"/>
  <c r="K216" i="3" s="1"/>
  <c r="I188" i="3"/>
  <c r="K188" i="3" s="1"/>
  <c r="I187" i="3"/>
  <c r="K187" i="3" s="1"/>
  <c r="N186" i="3"/>
  <c r="I186" i="3"/>
  <c r="K186" i="3" s="1"/>
  <c r="I185" i="3"/>
  <c r="K185" i="3" s="1"/>
  <c r="I184" i="3"/>
  <c r="K184" i="3" s="1"/>
  <c r="I183" i="3"/>
  <c r="K183" i="3" s="1"/>
  <c r="I179" i="3"/>
  <c r="K179" i="3" s="1"/>
  <c r="I176" i="3"/>
  <c r="K176" i="3" s="1"/>
  <c r="I174" i="3"/>
  <c r="K174" i="3" s="1"/>
  <c r="I173" i="3"/>
  <c r="K173" i="3" s="1"/>
  <c r="K169" i="3"/>
  <c r="I169" i="3"/>
  <c r="N169" i="3" s="1"/>
  <c r="I168" i="3"/>
  <c r="I167" i="3"/>
  <c r="K167" i="3" s="1"/>
  <c r="I166" i="3"/>
  <c r="N166" i="3" s="1"/>
  <c r="I165" i="3"/>
  <c r="K165" i="3" s="1"/>
  <c r="I162" i="3"/>
  <c r="I161" i="3"/>
  <c r="K161" i="3" s="1"/>
  <c r="I160" i="3"/>
  <c r="K160" i="3" s="1"/>
  <c r="I159" i="3"/>
  <c r="K159" i="3" s="1"/>
  <c r="I155" i="3"/>
  <c r="I132" i="3"/>
  <c r="K132" i="3" s="1"/>
  <c r="I131" i="3"/>
  <c r="K131" i="3" s="1"/>
  <c r="I130" i="3"/>
  <c r="N130" i="3" s="1"/>
  <c r="I129" i="3"/>
  <c r="N129" i="3" s="1"/>
  <c r="I128" i="3"/>
  <c r="N128" i="3" s="1"/>
  <c r="N127" i="3"/>
  <c r="K127" i="3"/>
  <c r="I127" i="3"/>
  <c r="I123" i="3"/>
  <c r="N123" i="3" s="1"/>
  <c r="I121" i="3"/>
  <c r="N121" i="3" s="1"/>
  <c r="I120" i="3"/>
  <c r="K120" i="3" s="1"/>
  <c r="N119" i="3"/>
  <c r="I119" i="3"/>
  <c r="K119" i="3" s="1"/>
  <c r="I116" i="3"/>
  <c r="K116" i="3" s="1"/>
  <c r="I115" i="3"/>
  <c r="N115" i="3" s="1"/>
  <c r="I114" i="3"/>
  <c r="K114" i="3" s="1"/>
  <c r="I113" i="3"/>
  <c r="N113" i="3" s="1"/>
  <c r="I112" i="3"/>
  <c r="N112" i="3" s="1"/>
  <c r="I111" i="3"/>
  <c r="K111" i="3" s="1"/>
  <c r="I110" i="3"/>
  <c r="I107" i="3"/>
  <c r="K107" i="3" s="1"/>
  <c r="I106" i="3"/>
  <c r="I105" i="3"/>
  <c r="I104" i="3"/>
  <c r="I85" i="3"/>
  <c r="K85" i="3" s="1"/>
  <c r="N82" i="3"/>
  <c r="I82" i="3"/>
  <c r="K82" i="3" s="1"/>
  <c r="I80" i="3"/>
  <c r="K80" i="3" s="1"/>
  <c r="I77" i="3"/>
  <c r="N77" i="3" s="1"/>
  <c r="I76" i="3"/>
  <c r="N76" i="3" s="1"/>
  <c r="I74" i="3"/>
  <c r="K74" i="3" s="1"/>
  <c r="I71" i="3"/>
  <c r="K71" i="3" s="1"/>
  <c r="I70" i="3"/>
  <c r="K70" i="3" s="1"/>
  <c r="I69" i="3"/>
  <c r="K69" i="3" s="1"/>
  <c r="I68" i="3"/>
  <c r="K68" i="3" s="1"/>
  <c r="I291" i="3"/>
  <c r="K291" i="3" s="1"/>
  <c r="F288" i="3"/>
  <c r="I287" i="3"/>
  <c r="K287" i="3" s="1"/>
  <c r="I286" i="3"/>
  <c r="K286" i="3" s="1"/>
  <c r="Q285" i="3"/>
  <c r="P285" i="3"/>
  <c r="O285" i="3"/>
  <c r="N285" i="3"/>
  <c r="M285" i="3"/>
  <c r="L285" i="3"/>
  <c r="K285" i="3"/>
  <c r="J285" i="3"/>
  <c r="I285" i="3"/>
  <c r="H285" i="3"/>
  <c r="F283" i="3"/>
  <c r="I282" i="3"/>
  <c r="K282" i="3" s="1"/>
  <c r="I281" i="3"/>
  <c r="K281" i="3" s="1"/>
  <c r="Q280" i="3"/>
  <c r="P280" i="3"/>
  <c r="O280" i="3"/>
  <c r="N280" i="3"/>
  <c r="M280" i="3"/>
  <c r="L280" i="3"/>
  <c r="K280" i="3"/>
  <c r="J280" i="3"/>
  <c r="I280" i="3"/>
  <c r="H280" i="3"/>
  <c r="F278" i="3"/>
  <c r="I277" i="3"/>
  <c r="Q275" i="3"/>
  <c r="P275" i="3"/>
  <c r="O275" i="3"/>
  <c r="N275" i="3"/>
  <c r="M275" i="3"/>
  <c r="L275" i="3"/>
  <c r="K275" i="3"/>
  <c r="J275" i="3"/>
  <c r="I275" i="3"/>
  <c r="H275" i="3"/>
  <c r="F273" i="3"/>
  <c r="I273" i="3" s="1"/>
  <c r="Q270" i="3"/>
  <c r="P270" i="3"/>
  <c r="O270" i="3"/>
  <c r="N270" i="3"/>
  <c r="M270" i="3"/>
  <c r="L270" i="3"/>
  <c r="K270" i="3"/>
  <c r="J270" i="3"/>
  <c r="I270" i="3"/>
  <c r="H270" i="3"/>
  <c r="F272" i="3"/>
  <c r="F263" i="3"/>
  <c r="F260" i="3"/>
  <c r="H31" i="3"/>
  <c r="I31" i="3" s="1"/>
  <c r="H38" i="3"/>
  <c r="I38" i="3" s="1"/>
  <c r="H37" i="3"/>
  <c r="I37" i="3" s="1"/>
  <c r="H36" i="3"/>
  <c r="I36" i="3" s="1"/>
  <c r="F41" i="3"/>
  <c r="F251" i="3"/>
  <c r="F248" i="3"/>
  <c r="F247" i="3"/>
  <c r="F240" i="3"/>
  <c r="I240" i="3" s="1"/>
  <c r="F219" i="1"/>
  <c r="F95" i="1"/>
  <c r="F213" i="3"/>
  <c r="I213" i="3" s="1"/>
  <c r="F212" i="3"/>
  <c r="F211" i="3"/>
  <c r="F210" i="3"/>
  <c r="F202" i="3"/>
  <c r="F207" i="3"/>
  <c r="I207" i="3" s="1"/>
  <c r="F206" i="3"/>
  <c r="F205" i="3"/>
  <c r="F201" i="3"/>
  <c r="I201" i="3" s="1"/>
  <c r="F200" i="3"/>
  <c r="F199" i="3"/>
  <c r="F194" i="3"/>
  <c r="F191" i="3"/>
  <c r="I191" i="3" s="1"/>
  <c r="F182" i="3"/>
  <c r="F172" i="3"/>
  <c r="F156" i="3"/>
  <c r="F155" i="3"/>
  <c r="F154" i="3"/>
  <c r="F151" i="3"/>
  <c r="F150" i="3"/>
  <c r="F149" i="3"/>
  <c r="F146" i="3"/>
  <c r="I146" i="3" s="1"/>
  <c r="F145" i="3"/>
  <c r="F144" i="3"/>
  <c r="F143" i="3"/>
  <c r="F138" i="3"/>
  <c r="F135" i="3"/>
  <c r="I135" i="3" s="1"/>
  <c r="F126" i="3"/>
  <c r="F101" i="3"/>
  <c r="F100" i="3"/>
  <c r="F99" i="3"/>
  <c r="F96" i="3"/>
  <c r="F95" i="3"/>
  <c r="F94" i="3"/>
  <c r="F93" i="3"/>
  <c r="H28" i="3"/>
  <c r="I28" i="3" s="1"/>
  <c r="K28" i="3" s="1"/>
  <c r="H27" i="3"/>
  <c r="I27" i="3" s="1"/>
  <c r="K27" i="3" s="1"/>
  <c r="H26" i="3"/>
  <c r="I26" i="3" s="1"/>
  <c r="K26" i="3" s="1"/>
  <c r="H25" i="3"/>
  <c r="I25" i="3" s="1"/>
  <c r="K25" i="3" s="1"/>
  <c r="F53" i="3"/>
  <c r="F88" i="3"/>
  <c r="F22" i="3"/>
  <c r="F65" i="3"/>
  <c r="F64" i="3"/>
  <c r="F63" i="3"/>
  <c r="F62" i="3"/>
  <c r="F59" i="3"/>
  <c r="F58" i="3"/>
  <c r="I58" i="3" s="1"/>
  <c r="F57" i="3"/>
  <c r="F56" i="3"/>
  <c r="F52" i="3"/>
  <c r="F51" i="3"/>
  <c r="F50" i="3"/>
  <c r="F49" i="3"/>
  <c r="I49" i="3" s="1"/>
  <c r="F137" i="1"/>
  <c r="P296" i="3"/>
  <c r="O296" i="3"/>
  <c r="N296" i="3"/>
  <c r="M296" i="3"/>
  <c r="L296" i="3"/>
  <c r="K296" i="3"/>
  <c r="J296" i="3"/>
  <c r="I296" i="3"/>
  <c r="H296" i="3"/>
  <c r="A296" i="3"/>
  <c r="A295" i="3"/>
  <c r="P294" i="3"/>
  <c r="O294" i="3"/>
  <c r="N294" i="3"/>
  <c r="M294" i="3"/>
  <c r="L294" i="3"/>
  <c r="K294" i="3"/>
  <c r="J294" i="3"/>
  <c r="I294" i="3"/>
  <c r="H294" i="3"/>
  <c r="A294" i="3"/>
  <c r="A293" i="3"/>
  <c r="Q292" i="3"/>
  <c r="P292" i="3"/>
  <c r="O292" i="3"/>
  <c r="N292" i="3"/>
  <c r="M292" i="3"/>
  <c r="L292" i="3"/>
  <c r="K292" i="3"/>
  <c r="J292" i="3"/>
  <c r="I292" i="3"/>
  <c r="H292" i="3"/>
  <c r="A292" i="3"/>
  <c r="Q271" i="3"/>
  <c r="P271" i="3"/>
  <c r="O271" i="3"/>
  <c r="N271" i="3"/>
  <c r="M271" i="3"/>
  <c r="L271" i="3"/>
  <c r="K271" i="3"/>
  <c r="J271" i="3"/>
  <c r="I271" i="3"/>
  <c r="H271" i="3"/>
  <c r="Q45" i="3"/>
  <c r="P45" i="3"/>
  <c r="O45" i="3"/>
  <c r="N45" i="3"/>
  <c r="M45" i="3"/>
  <c r="L45" i="3"/>
  <c r="K45" i="3"/>
  <c r="J45" i="3"/>
  <c r="I45" i="3"/>
  <c r="H45" i="3"/>
  <c r="P44" i="3"/>
  <c r="O44" i="3"/>
  <c r="N44" i="3"/>
  <c r="M44" i="3"/>
  <c r="K44" i="3"/>
  <c r="J44" i="3"/>
  <c r="I44" i="3"/>
  <c r="H44" i="3"/>
  <c r="Q42" i="3"/>
  <c r="P42" i="3"/>
  <c r="O42" i="3"/>
  <c r="N42" i="3"/>
  <c r="M42" i="3"/>
  <c r="L42" i="3"/>
  <c r="K42" i="3"/>
  <c r="J42" i="3"/>
  <c r="I42" i="3"/>
  <c r="H42" i="3"/>
  <c r="Q34" i="3"/>
  <c r="P34" i="3"/>
  <c r="O34" i="3"/>
  <c r="N34" i="3"/>
  <c r="M34" i="3"/>
  <c r="L34" i="3"/>
  <c r="K34" i="3"/>
  <c r="J34" i="3"/>
  <c r="I34" i="3"/>
  <c r="H34" i="3"/>
  <c r="H33" i="3"/>
  <c r="I33" i="3" s="1"/>
  <c r="H32" i="3"/>
  <c r="I32" i="3" s="1"/>
  <c r="K32" i="3" s="1"/>
  <c r="Q24" i="3"/>
  <c r="P24" i="3"/>
  <c r="O24" i="3"/>
  <c r="N24" i="3"/>
  <c r="M24" i="3"/>
  <c r="L24" i="3"/>
  <c r="K24" i="3"/>
  <c r="J24" i="3"/>
  <c r="I24" i="3"/>
  <c r="H24" i="3"/>
  <c r="Q23" i="3"/>
  <c r="P23" i="3"/>
  <c r="O23" i="3"/>
  <c r="N23" i="3"/>
  <c r="M23" i="3"/>
  <c r="L23" i="3"/>
  <c r="K23" i="3"/>
  <c r="J23" i="3"/>
  <c r="I23" i="3"/>
  <c r="H23" i="3"/>
  <c r="Q21" i="3"/>
  <c r="P21" i="3"/>
  <c r="O21" i="3"/>
  <c r="N21" i="3"/>
  <c r="M21" i="3"/>
  <c r="L21" i="3"/>
  <c r="K21" i="3"/>
  <c r="J21" i="3"/>
  <c r="I21" i="3"/>
  <c r="H21" i="3"/>
  <c r="Q20" i="3"/>
  <c r="P20" i="3"/>
  <c r="O20" i="3"/>
  <c r="N20" i="3"/>
  <c r="M20" i="3"/>
  <c r="L20" i="3"/>
  <c r="K20" i="3"/>
  <c r="J20" i="3"/>
  <c r="I20" i="3"/>
  <c r="H20" i="3"/>
  <c r="J14" i="3"/>
  <c r="J13" i="3"/>
  <c r="H13" i="3"/>
  <c r="I13" i="3" s="1"/>
  <c r="J12" i="3"/>
  <c r="H12" i="3"/>
  <c r="I12" i="3" s="1"/>
  <c r="J11" i="3"/>
  <c r="H11" i="3"/>
  <c r="I11" i="3" s="1"/>
  <c r="A11" i="3"/>
  <c r="Q10" i="3"/>
  <c r="P10" i="3"/>
  <c r="O10" i="3"/>
  <c r="N10" i="3"/>
  <c r="M10" i="3"/>
  <c r="L10" i="3"/>
  <c r="K10" i="3"/>
  <c r="J10" i="3"/>
  <c r="I10" i="3"/>
  <c r="H10" i="3"/>
  <c r="A10" i="3"/>
  <c r="F77" i="1"/>
  <c r="F140" i="1" s="1"/>
  <c r="F232" i="1"/>
  <c r="F222" i="1"/>
  <c r="F216" i="1"/>
  <c r="F213" i="1"/>
  <c r="I113" i="1"/>
  <c r="F111" i="1"/>
  <c r="F109" i="1"/>
  <c r="Q530" i="1"/>
  <c r="P530" i="1"/>
  <c r="O530" i="1"/>
  <c r="N530" i="1"/>
  <c r="M530" i="1"/>
  <c r="L530" i="1"/>
  <c r="K530" i="1"/>
  <c r="J530" i="1"/>
  <c r="I530" i="1"/>
  <c r="H530" i="1"/>
  <c r="F527" i="1"/>
  <c r="F528" i="1" s="1"/>
  <c r="Q526" i="1"/>
  <c r="P526" i="1"/>
  <c r="O526" i="1"/>
  <c r="N526" i="1"/>
  <c r="M526" i="1"/>
  <c r="L526" i="1"/>
  <c r="K526" i="1"/>
  <c r="J526" i="1"/>
  <c r="I526" i="1"/>
  <c r="H526" i="1"/>
  <c r="Q525" i="1"/>
  <c r="P525" i="1"/>
  <c r="O525" i="1"/>
  <c r="N525" i="1"/>
  <c r="M525" i="1"/>
  <c r="L525" i="1"/>
  <c r="K525" i="1"/>
  <c r="J525" i="1"/>
  <c r="I525" i="1"/>
  <c r="H525" i="1"/>
  <c r="Q523" i="1"/>
  <c r="P523" i="1"/>
  <c r="O523" i="1"/>
  <c r="N523" i="1"/>
  <c r="M523" i="1"/>
  <c r="L523" i="1"/>
  <c r="K523" i="1"/>
  <c r="J523" i="1"/>
  <c r="I523" i="1"/>
  <c r="H523" i="1"/>
  <c r="Q522" i="1"/>
  <c r="P522" i="1"/>
  <c r="O522" i="1"/>
  <c r="N522" i="1"/>
  <c r="M522" i="1"/>
  <c r="L522" i="1"/>
  <c r="K522" i="1"/>
  <c r="J522" i="1"/>
  <c r="I522" i="1"/>
  <c r="H522" i="1"/>
  <c r="Q520" i="1"/>
  <c r="P520" i="1"/>
  <c r="O520" i="1"/>
  <c r="N520" i="1"/>
  <c r="M520" i="1"/>
  <c r="L520" i="1"/>
  <c r="K520" i="1"/>
  <c r="J520" i="1"/>
  <c r="I520" i="1"/>
  <c r="H520" i="1"/>
  <c r="Q519" i="1"/>
  <c r="P519" i="1"/>
  <c r="O519" i="1"/>
  <c r="N519" i="1"/>
  <c r="M519" i="1"/>
  <c r="L519" i="1"/>
  <c r="K519" i="1"/>
  <c r="J519" i="1"/>
  <c r="I519" i="1"/>
  <c r="H519" i="1"/>
  <c r="Q516" i="1"/>
  <c r="P516" i="1"/>
  <c r="O516" i="1"/>
  <c r="N516" i="1"/>
  <c r="M516" i="1"/>
  <c r="L516" i="1"/>
  <c r="K516" i="1"/>
  <c r="J516" i="1"/>
  <c r="I516" i="1"/>
  <c r="H516" i="1"/>
  <c r="Q511" i="1"/>
  <c r="P511" i="1"/>
  <c r="O511" i="1"/>
  <c r="N511" i="1"/>
  <c r="M511" i="1"/>
  <c r="L511" i="1"/>
  <c r="K511" i="1"/>
  <c r="J511" i="1"/>
  <c r="I511" i="1"/>
  <c r="H511" i="1"/>
  <c r="Q510" i="1"/>
  <c r="P510" i="1"/>
  <c r="O510" i="1"/>
  <c r="N510" i="1"/>
  <c r="M510" i="1"/>
  <c r="L510" i="1"/>
  <c r="K510" i="1"/>
  <c r="J510" i="1"/>
  <c r="I510" i="1"/>
  <c r="H510" i="1"/>
  <c r="I509" i="1"/>
  <c r="I508" i="1"/>
  <c r="Q507" i="1"/>
  <c r="P507" i="1"/>
  <c r="O507" i="1"/>
  <c r="N507" i="1"/>
  <c r="M507" i="1"/>
  <c r="L507" i="1"/>
  <c r="K507" i="1"/>
  <c r="J507" i="1"/>
  <c r="I507" i="1"/>
  <c r="H507" i="1"/>
  <c r="F503" i="1"/>
  <c r="J503" i="1" s="1"/>
  <c r="F502" i="1"/>
  <c r="J502" i="1" s="1"/>
  <c r="Q501" i="1"/>
  <c r="P501" i="1"/>
  <c r="O501" i="1"/>
  <c r="N501" i="1"/>
  <c r="M501" i="1"/>
  <c r="L501" i="1"/>
  <c r="K501" i="1"/>
  <c r="J501" i="1"/>
  <c r="I501" i="1"/>
  <c r="H501" i="1"/>
  <c r="Q500" i="1"/>
  <c r="P500" i="1"/>
  <c r="O500" i="1"/>
  <c r="N500" i="1"/>
  <c r="M500" i="1"/>
  <c r="L500" i="1"/>
  <c r="K500" i="1"/>
  <c r="J500" i="1"/>
  <c r="I500" i="1"/>
  <c r="H500" i="1"/>
  <c r="Q498" i="1"/>
  <c r="P498" i="1"/>
  <c r="O498" i="1"/>
  <c r="N498" i="1"/>
  <c r="M498" i="1"/>
  <c r="L498" i="1"/>
  <c r="K498" i="1"/>
  <c r="J498" i="1"/>
  <c r="I498" i="1"/>
  <c r="H498" i="1"/>
  <c r="F396" i="1"/>
  <c r="F397" i="1" s="1"/>
  <c r="Q395" i="1"/>
  <c r="P395" i="1"/>
  <c r="O395" i="1"/>
  <c r="N395" i="1"/>
  <c r="M395" i="1"/>
  <c r="K395" i="1"/>
  <c r="J395" i="1"/>
  <c r="I395" i="1"/>
  <c r="F393" i="1"/>
  <c r="F392" i="1"/>
  <c r="Q391" i="1"/>
  <c r="P391" i="1"/>
  <c r="O391" i="1"/>
  <c r="N391" i="1"/>
  <c r="K391" i="1"/>
  <c r="I391" i="1"/>
  <c r="H391" i="1"/>
  <c r="F390" i="1"/>
  <c r="I389" i="1"/>
  <c r="F387" i="1"/>
  <c r="F386" i="1"/>
  <c r="I385" i="1"/>
  <c r="F383" i="1"/>
  <c r="I382" i="1"/>
  <c r="I381" i="1"/>
  <c r="I380" i="1"/>
  <c r="F379" i="1"/>
  <c r="I378" i="1"/>
  <c r="I377" i="1"/>
  <c r="I376" i="1"/>
  <c r="F374" i="1"/>
  <c r="F373" i="1"/>
  <c r="I372" i="1"/>
  <c r="I371" i="1"/>
  <c r="F369" i="1"/>
  <c r="I367" i="1"/>
  <c r="I366" i="1"/>
  <c r="I365" i="1"/>
  <c r="I364" i="1"/>
  <c r="I361" i="1"/>
  <c r="F360" i="1"/>
  <c r="I358" i="1"/>
  <c r="I357" i="1"/>
  <c r="I355" i="1"/>
  <c r="F353" i="1"/>
  <c r="F352" i="1"/>
  <c r="I352" i="1" s="1"/>
  <c r="F351" i="1"/>
  <c r="I351" i="1" s="1"/>
  <c r="F350" i="1"/>
  <c r="F349" i="1"/>
  <c r="F348" i="1"/>
  <c r="F347" i="1"/>
  <c r="I347" i="1" s="1"/>
  <c r="I346" i="1"/>
  <c r="I344" i="1"/>
  <c r="I343" i="1"/>
  <c r="I341" i="1"/>
  <c r="F339" i="1"/>
  <c r="Q338" i="1"/>
  <c r="P338" i="1"/>
  <c r="O338" i="1"/>
  <c r="N338" i="1"/>
  <c r="L338" i="1"/>
  <c r="K338" i="1"/>
  <c r="J338" i="1"/>
  <c r="I338" i="1"/>
  <c r="H338" i="1"/>
  <c r="F337" i="1"/>
  <c r="F336" i="1"/>
  <c r="F335" i="1"/>
  <c r="I334" i="1"/>
  <c r="I333" i="1"/>
  <c r="I332" i="1"/>
  <c r="F331" i="1"/>
  <c r="Q330" i="1"/>
  <c r="P330" i="1"/>
  <c r="O330" i="1"/>
  <c r="N330" i="1"/>
  <c r="M330" i="1"/>
  <c r="L330" i="1"/>
  <c r="K330" i="1"/>
  <c r="J330" i="1"/>
  <c r="I330" i="1"/>
  <c r="H330" i="1"/>
  <c r="Q329" i="1"/>
  <c r="P329" i="1"/>
  <c r="O329" i="1"/>
  <c r="N329" i="1"/>
  <c r="M329" i="1"/>
  <c r="L329" i="1"/>
  <c r="K329" i="1"/>
  <c r="J329" i="1"/>
  <c r="I329" i="1"/>
  <c r="H329" i="1"/>
  <c r="F328" i="1"/>
  <c r="F326" i="1"/>
  <c r="I326" i="1" s="1"/>
  <c r="F325" i="1"/>
  <c r="F323" i="1"/>
  <c r="I322" i="1"/>
  <c r="I321" i="1"/>
  <c r="I320" i="1"/>
  <c r="F319" i="1"/>
  <c r="I319" i="1" s="1"/>
  <c r="Q317" i="1"/>
  <c r="P317" i="1"/>
  <c r="O317" i="1"/>
  <c r="N317" i="1"/>
  <c r="M317" i="1"/>
  <c r="L317" i="1"/>
  <c r="K317" i="1"/>
  <c r="J317" i="1"/>
  <c r="I317" i="1"/>
  <c r="H317" i="1"/>
  <c r="Q316" i="1"/>
  <c r="P316" i="1"/>
  <c r="O316" i="1"/>
  <c r="N316" i="1"/>
  <c r="M316" i="1"/>
  <c r="L316" i="1"/>
  <c r="K316" i="1"/>
  <c r="J316" i="1"/>
  <c r="I316" i="1"/>
  <c r="H316" i="1"/>
  <c r="F315" i="1"/>
  <c r="F314" i="1"/>
  <c r="F313" i="1"/>
  <c r="F312" i="1"/>
  <c r="F310" i="1"/>
  <c r="F309" i="1"/>
  <c r="Q307" i="1"/>
  <c r="P307" i="1"/>
  <c r="O307" i="1"/>
  <c r="N307" i="1"/>
  <c r="M307" i="1"/>
  <c r="L307" i="1"/>
  <c r="K307" i="1"/>
  <c r="J307" i="1"/>
  <c r="I307" i="1"/>
  <c r="H307" i="1"/>
  <c r="Q306" i="1"/>
  <c r="P306" i="1"/>
  <c r="O306" i="1"/>
  <c r="N306" i="1"/>
  <c r="M306" i="1"/>
  <c r="L306" i="1"/>
  <c r="K306" i="1"/>
  <c r="J306" i="1"/>
  <c r="I306" i="1"/>
  <c r="H306" i="1"/>
  <c r="I305" i="1"/>
  <c r="I303" i="1"/>
  <c r="I302" i="1"/>
  <c r="Q300" i="1"/>
  <c r="P300" i="1"/>
  <c r="O300" i="1"/>
  <c r="N300" i="1"/>
  <c r="M300" i="1"/>
  <c r="L300" i="1"/>
  <c r="K300" i="1"/>
  <c r="J300" i="1"/>
  <c r="I300" i="1"/>
  <c r="H300" i="1"/>
  <c r="Q299" i="1"/>
  <c r="P299" i="1"/>
  <c r="O299" i="1"/>
  <c r="N299" i="1"/>
  <c r="M299" i="1"/>
  <c r="L299" i="1"/>
  <c r="K299" i="1"/>
  <c r="J299" i="1"/>
  <c r="I299" i="1"/>
  <c r="H299" i="1"/>
  <c r="F294" i="1"/>
  <c r="Q293" i="1"/>
  <c r="P293" i="1"/>
  <c r="O293" i="1"/>
  <c r="N293" i="1"/>
  <c r="K293" i="1"/>
  <c r="I293" i="1"/>
  <c r="H293" i="1"/>
  <c r="Q280" i="1"/>
  <c r="P280" i="1"/>
  <c r="O280" i="1"/>
  <c r="N280" i="1"/>
  <c r="M280" i="1"/>
  <c r="K280" i="1"/>
  <c r="J280" i="1"/>
  <c r="I280" i="1"/>
  <c r="H280" i="1"/>
  <c r="F277" i="1"/>
  <c r="Q276" i="1"/>
  <c r="P276" i="1"/>
  <c r="O276" i="1"/>
  <c r="N276" i="1"/>
  <c r="M276" i="1"/>
  <c r="L276" i="1"/>
  <c r="K276" i="1"/>
  <c r="J276" i="1"/>
  <c r="I276" i="1"/>
  <c r="H276" i="1"/>
  <c r="Q275" i="1"/>
  <c r="P275" i="1"/>
  <c r="O275" i="1"/>
  <c r="N275" i="1"/>
  <c r="M275" i="1"/>
  <c r="L275" i="1"/>
  <c r="K275" i="1"/>
  <c r="J275" i="1"/>
  <c r="I275" i="1"/>
  <c r="H275" i="1"/>
  <c r="L216" i="1" l="1"/>
  <c r="K77" i="3"/>
  <c r="K123" i="3"/>
  <c r="N184" i="3"/>
  <c r="K518" i="1"/>
  <c r="I222" i="1"/>
  <c r="K222" i="1" s="1"/>
  <c r="L222" i="1"/>
  <c r="K76" i="3"/>
  <c r="K115" i="3"/>
  <c r="K130" i="3"/>
  <c r="N132" i="3"/>
  <c r="N159" i="3"/>
  <c r="N235" i="3"/>
  <c r="K244" i="3"/>
  <c r="K472" i="1"/>
  <c r="L219" i="1"/>
  <c r="K128" i="3"/>
  <c r="N165" i="3"/>
  <c r="N183" i="3"/>
  <c r="K289" i="1"/>
  <c r="I328" i="1"/>
  <c r="K328" i="1"/>
  <c r="I313" i="1"/>
  <c r="K313" i="1" s="1"/>
  <c r="K451" i="1"/>
  <c r="K456" i="1"/>
  <c r="N251" i="3"/>
  <c r="K251" i="3"/>
  <c r="I56" i="3"/>
  <c r="K56" i="3" s="1"/>
  <c r="L288" i="3"/>
  <c r="N85" i="3"/>
  <c r="K121" i="3"/>
  <c r="N222" i="3"/>
  <c r="N256" i="3"/>
  <c r="K256" i="3"/>
  <c r="N185" i="3"/>
  <c r="K104" i="3"/>
  <c r="N104" i="3"/>
  <c r="I263" i="3"/>
  <c r="K263" i="3" s="1"/>
  <c r="N155" i="3"/>
  <c r="K155" i="3"/>
  <c r="N201" i="3"/>
  <c r="K201" i="3"/>
  <c r="N213" i="3"/>
  <c r="K213" i="3"/>
  <c r="K58" i="3"/>
  <c r="I205" i="3"/>
  <c r="K205" i="3"/>
  <c r="N291" i="3"/>
  <c r="N70" i="3"/>
  <c r="N216" i="3"/>
  <c r="N226" i="3"/>
  <c r="K226" i="3"/>
  <c r="K49" i="3"/>
  <c r="N146" i="3"/>
  <c r="K146" i="3"/>
  <c r="I182" i="3"/>
  <c r="K182" i="3" s="1"/>
  <c r="N207" i="3"/>
  <c r="K207" i="3"/>
  <c r="N80" i="3"/>
  <c r="N162" i="3"/>
  <c r="K162" i="3"/>
  <c r="N227" i="3"/>
  <c r="N219" i="3"/>
  <c r="K219" i="3"/>
  <c r="N135" i="3"/>
  <c r="N68" i="3"/>
  <c r="I172" i="3"/>
  <c r="K172" i="3" s="1"/>
  <c r="L283" i="3"/>
  <c r="K106" i="3"/>
  <c r="N106" i="3"/>
  <c r="K191" i="3"/>
  <c r="I59" i="3"/>
  <c r="K59" i="3" s="1"/>
  <c r="I144" i="3"/>
  <c r="N144" i="3" s="1"/>
  <c r="N173" i="3"/>
  <c r="I199" i="3"/>
  <c r="K199" i="3" s="1"/>
  <c r="I247" i="3"/>
  <c r="K247" i="3" s="1"/>
  <c r="L278" i="3"/>
  <c r="N56" i="3"/>
  <c r="N49" i="3"/>
  <c r="I52" i="3"/>
  <c r="K52" i="3" s="1"/>
  <c r="I64" i="3"/>
  <c r="K64" i="3" s="1"/>
  <c r="I138" i="3"/>
  <c r="K168" i="3"/>
  <c r="I211" i="3"/>
  <c r="N211" i="3" s="1"/>
  <c r="K448" i="1"/>
  <c r="K465" i="1"/>
  <c r="K469" i="1"/>
  <c r="N480" i="1"/>
  <c r="K531" i="1"/>
  <c r="K284" i="1"/>
  <c r="K290" i="1"/>
  <c r="I57" i="3"/>
  <c r="N57" i="3" s="1"/>
  <c r="N71" i="3"/>
  <c r="I93" i="3"/>
  <c r="N93" i="3" s="1"/>
  <c r="I95" i="3"/>
  <c r="K95" i="3" s="1"/>
  <c r="I99" i="3"/>
  <c r="N99" i="3" s="1"/>
  <c r="I101" i="3"/>
  <c r="N101" i="3" s="1"/>
  <c r="K105" i="3"/>
  <c r="N107" i="3"/>
  <c r="K112" i="3"/>
  <c r="I151" i="3"/>
  <c r="N151" i="3" s="1"/>
  <c r="N161" i="3"/>
  <c r="N191" i="3"/>
  <c r="N205" i="3"/>
  <c r="N263" i="3"/>
  <c r="N448" i="1"/>
  <c r="N465" i="1"/>
  <c r="N531" i="1"/>
  <c r="I50" i="3"/>
  <c r="N50" i="3" s="1"/>
  <c r="I62" i="3"/>
  <c r="N62" i="3" s="1"/>
  <c r="K101" i="3"/>
  <c r="N105" i="3"/>
  <c r="N110" i="3"/>
  <c r="N114" i="3"/>
  <c r="N116" i="3"/>
  <c r="N120" i="3"/>
  <c r="I126" i="3"/>
  <c r="N126" i="3" s="1"/>
  <c r="I149" i="3"/>
  <c r="N149" i="3" s="1"/>
  <c r="I156" i="3"/>
  <c r="N156" i="3" s="1"/>
  <c r="N176" i="3"/>
  <c r="N187" i="3"/>
  <c r="I202" i="3"/>
  <c r="N202" i="3" s="1"/>
  <c r="I206" i="3"/>
  <c r="K206" i="3" s="1"/>
  <c r="N217" i="3"/>
  <c r="N229" i="3"/>
  <c r="N243" i="3"/>
  <c r="I260" i="3"/>
  <c r="N260" i="3" s="1"/>
  <c r="I53" i="3"/>
  <c r="K53" i="3" s="1"/>
  <c r="I65" i="3"/>
  <c r="K65" i="3" s="1"/>
  <c r="K110" i="3"/>
  <c r="I143" i="3"/>
  <c r="N143" i="3" s="1"/>
  <c r="I145" i="3"/>
  <c r="N145" i="3" s="1"/>
  <c r="I194" i="3"/>
  <c r="N194" i="3" s="1"/>
  <c r="I210" i="3"/>
  <c r="N210" i="3" s="1"/>
  <c r="I212" i="3"/>
  <c r="N212" i="3" s="1"/>
  <c r="N239" i="3"/>
  <c r="I248" i="3"/>
  <c r="K248" i="3" s="1"/>
  <c r="N463" i="1"/>
  <c r="N288" i="1"/>
  <c r="N95" i="3"/>
  <c r="I154" i="3"/>
  <c r="N154" i="3" s="1"/>
  <c r="I200" i="3"/>
  <c r="N200" i="3" s="1"/>
  <c r="N240" i="3"/>
  <c r="N470" i="1"/>
  <c r="N479" i="1"/>
  <c r="N484" i="1"/>
  <c r="N488" i="1"/>
  <c r="I51" i="3"/>
  <c r="N51" i="3" s="1"/>
  <c r="I63" i="3"/>
  <c r="N63" i="3" s="1"/>
  <c r="N69" i="3"/>
  <c r="N74" i="3"/>
  <c r="I88" i="3"/>
  <c r="N88" i="3" s="1"/>
  <c r="I94" i="3"/>
  <c r="K94" i="3" s="1"/>
  <c r="I96" i="3"/>
  <c r="K96" i="3" s="1"/>
  <c r="I100" i="3"/>
  <c r="K100" i="3" s="1"/>
  <c r="N111" i="3"/>
  <c r="K113" i="3"/>
  <c r="K129" i="3"/>
  <c r="K135" i="3"/>
  <c r="I150" i="3"/>
  <c r="K150" i="3" s="1"/>
  <c r="N174" i="3"/>
  <c r="N179" i="3"/>
  <c r="N206" i="3"/>
  <c r="N223" i="3"/>
  <c r="N230" i="3"/>
  <c r="K238" i="3"/>
  <c r="K240" i="3"/>
  <c r="N248" i="3"/>
  <c r="N285" i="1"/>
  <c r="N125" i="1"/>
  <c r="H22" i="3"/>
  <c r="I22" i="3" s="1"/>
  <c r="K22" i="3" s="1"/>
  <c r="N131" i="3"/>
  <c r="N160" i="3"/>
  <c r="N167" i="3"/>
  <c r="N188" i="3"/>
  <c r="N234" i="3"/>
  <c r="N255" i="3"/>
  <c r="N266" i="3"/>
  <c r="N452" i="1"/>
  <c r="K462" i="1"/>
  <c r="N468" i="1"/>
  <c r="K471" i="1"/>
  <c r="K485" i="1"/>
  <c r="K92" i="1"/>
  <c r="K463" i="1"/>
  <c r="N124" i="1"/>
  <c r="K450" i="1"/>
  <c r="K461" i="1"/>
  <c r="K478" i="1"/>
  <c r="K483" i="1"/>
  <c r="K455" i="1"/>
  <c r="K459" i="1"/>
  <c r="K464" i="1"/>
  <c r="N478" i="1"/>
  <c r="N483" i="1"/>
  <c r="K490" i="1"/>
  <c r="K121" i="1"/>
  <c r="N459" i="1"/>
  <c r="N464" i="1"/>
  <c r="N476" i="1"/>
  <c r="N481" i="1"/>
  <c r="N284" i="1"/>
  <c r="K125" i="1"/>
  <c r="N485" i="1"/>
  <c r="N493" i="1"/>
  <c r="N92" i="1"/>
  <c r="N446" i="1"/>
  <c r="N454" i="1"/>
  <c r="K484" i="1"/>
  <c r="N490" i="1"/>
  <c r="K512" i="1"/>
  <c r="I294" i="1"/>
  <c r="N294" i="1" s="1"/>
  <c r="N122" i="1"/>
  <c r="K453" i="1"/>
  <c r="N462" i="1"/>
  <c r="K489" i="1"/>
  <c r="N512" i="1"/>
  <c r="K524" i="1"/>
  <c r="I393" i="1"/>
  <c r="N393" i="1" s="1"/>
  <c r="K124" i="1"/>
  <c r="K122" i="1"/>
  <c r="N450" i="1"/>
  <c r="I528" i="1"/>
  <c r="I277" i="1"/>
  <c r="N277" i="1" s="1"/>
  <c r="N278" i="1"/>
  <c r="K286" i="1"/>
  <c r="N290" i="1"/>
  <c r="N489" i="1"/>
  <c r="J528" i="1"/>
  <c r="N447" i="1"/>
  <c r="K449" i="1"/>
  <c r="N455" i="1"/>
  <c r="K468" i="1"/>
  <c r="K477" i="1"/>
  <c r="K482" i="1"/>
  <c r="I392" i="1"/>
  <c r="N392" i="1" s="1"/>
  <c r="K279" i="1"/>
  <c r="K282" i="1"/>
  <c r="K292" i="1"/>
  <c r="K460" i="1"/>
  <c r="K470" i="1"/>
  <c r="N471" i="1"/>
  <c r="K521" i="1"/>
  <c r="I527" i="1"/>
  <c r="K392" i="1"/>
  <c r="N449" i="1"/>
  <c r="N482" i="1"/>
  <c r="J527" i="1"/>
  <c r="N279" i="1"/>
  <c r="N282" i="1"/>
  <c r="K123" i="1"/>
  <c r="N123" i="1"/>
  <c r="N121" i="1"/>
  <c r="K281" i="1"/>
  <c r="N281" i="1"/>
  <c r="F224" i="1"/>
  <c r="F225" i="1" s="1"/>
  <c r="F227" i="1"/>
  <c r="F228" i="1" s="1"/>
  <c r="I156" i="1"/>
  <c r="N156" i="1" s="1"/>
  <c r="K151" i="1"/>
  <c r="N151" i="1"/>
  <c r="I152" i="1"/>
  <c r="K152" i="1" s="1"/>
  <c r="I148" i="1"/>
  <c r="N148" i="1" s="1"/>
  <c r="I150" i="1"/>
  <c r="N150" i="1" s="1"/>
  <c r="F159" i="1"/>
  <c r="I155" i="1"/>
  <c r="I157" i="1"/>
  <c r="N157" i="1" s="1"/>
  <c r="F160" i="1"/>
  <c r="F161" i="1"/>
  <c r="I147" i="1"/>
  <c r="K147" i="1" s="1"/>
  <c r="I149" i="1"/>
  <c r="I137" i="1"/>
  <c r="N137" i="1" s="1"/>
  <c r="N168" i="3"/>
  <c r="K166" i="3"/>
  <c r="K138" i="3"/>
  <c r="N138" i="3"/>
  <c r="N52" i="3"/>
  <c r="N64" i="3"/>
  <c r="N65" i="3"/>
  <c r="N58" i="3"/>
  <c r="N59" i="3"/>
  <c r="N53" i="3"/>
  <c r="I272" i="3"/>
  <c r="K277" i="3"/>
  <c r="N286" i="3"/>
  <c r="N287" i="3"/>
  <c r="N277" i="3"/>
  <c r="I288" i="3"/>
  <c r="K288" i="3" s="1"/>
  <c r="N282" i="3"/>
  <c r="N281" i="3"/>
  <c r="I283" i="3"/>
  <c r="K283" i="3" s="1"/>
  <c r="N22" i="3"/>
  <c r="I276" i="3"/>
  <c r="K276" i="3" s="1"/>
  <c r="I278" i="3"/>
  <c r="K278" i="3" s="1"/>
  <c r="N273" i="3"/>
  <c r="K273" i="3"/>
  <c r="H41" i="3"/>
  <c r="I41" i="3" s="1"/>
  <c r="N41" i="3" s="1"/>
  <c r="N36" i="3"/>
  <c r="K38" i="3"/>
  <c r="N31" i="3"/>
  <c r="K37" i="3"/>
  <c r="K31" i="3"/>
  <c r="N37" i="3"/>
  <c r="K36" i="3"/>
  <c r="N38" i="3"/>
  <c r="N32" i="3"/>
  <c r="K33" i="3"/>
  <c r="N33" i="3"/>
  <c r="N25" i="3"/>
  <c r="N27" i="3"/>
  <c r="N26" i="3"/>
  <c r="N28" i="3"/>
  <c r="K12" i="3"/>
  <c r="H14" i="3"/>
  <c r="I14" i="3" s="1"/>
  <c r="K14" i="3" s="1"/>
  <c r="H140" i="1"/>
  <c r="I140" i="1" s="1"/>
  <c r="K13" i="3"/>
  <c r="K11" i="3"/>
  <c r="I219" i="1"/>
  <c r="N219" i="1" s="1"/>
  <c r="N222" i="1"/>
  <c r="K113" i="1"/>
  <c r="N113" i="1"/>
  <c r="N333" i="1"/>
  <c r="N509" i="1"/>
  <c r="K508" i="1"/>
  <c r="N344" i="1"/>
  <c r="K372" i="1"/>
  <c r="N334" i="1"/>
  <c r="K509" i="1"/>
  <c r="K365" i="1"/>
  <c r="I353" i="1"/>
  <c r="N353" i="1" s="1"/>
  <c r="N508" i="1"/>
  <c r="K380" i="1"/>
  <c r="N378" i="1"/>
  <c r="N380" i="1"/>
  <c r="F499" i="1"/>
  <c r="H502" i="1"/>
  <c r="I502" i="1" s="1"/>
  <c r="K355" i="1"/>
  <c r="K376" i="1"/>
  <c r="N367" i="1"/>
  <c r="I387" i="1"/>
  <c r="K387" i="1" s="1"/>
  <c r="K341" i="1"/>
  <c r="N366" i="1"/>
  <c r="K377" i="1"/>
  <c r="H503" i="1"/>
  <c r="I503" i="1" s="1"/>
  <c r="K503" i="1" s="1"/>
  <c r="N320" i="1"/>
  <c r="N321" i="1"/>
  <c r="N305" i="1"/>
  <c r="K344" i="1"/>
  <c r="K332" i="1"/>
  <c r="K334" i="1"/>
  <c r="N355" i="1"/>
  <c r="K364" i="1"/>
  <c r="I386" i="1"/>
  <c r="N386" i="1" s="1"/>
  <c r="I396" i="1"/>
  <c r="N343" i="1"/>
  <c r="N381" i="1"/>
  <c r="N303" i="1"/>
  <c r="K320" i="1"/>
  <c r="K322" i="1"/>
  <c r="I337" i="1"/>
  <c r="K358" i="1"/>
  <c r="N302" i="1"/>
  <c r="N346" i="1"/>
  <c r="N372" i="1"/>
  <c r="K382" i="1"/>
  <c r="K371" i="1"/>
  <c r="J397" i="1"/>
  <c r="I397" i="1"/>
  <c r="K305" i="1"/>
  <c r="K333" i="1"/>
  <c r="K352" i="1"/>
  <c r="N328" i="1"/>
  <c r="N352" i="1"/>
  <c r="N361" i="1"/>
  <c r="N364" i="1"/>
  <c r="N371" i="1"/>
  <c r="N376" i="1"/>
  <c r="N382" i="1"/>
  <c r="K385" i="1"/>
  <c r="J396" i="1"/>
  <c r="K303" i="1"/>
  <c r="N322" i="1"/>
  <c r="N332" i="1"/>
  <c r="N341" i="1"/>
  <c r="K346" i="1"/>
  <c r="K351" i="1"/>
  <c r="N385" i="1"/>
  <c r="N351" i="1"/>
  <c r="N358" i="1"/>
  <c r="K321" i="1"/>
  <c r="N357" i="1"/>
  <c r="K367" i="1"/>
  <c r="K381" i="1"/>
  <c r="N389" i="1"/>
  <c r="K302" i="1"/>
  <c r="K343" i="1"/>
  <c r="N365" i="1"/>
  <c r="N377" i="1"/>
  <c r="I310" i="1"/>
  <c r="K319" i="1"/>
  <c r="I323" i="1"/>
  <c r="K326" i="1"/>
  <c r="I336" i="1"/>
  <c r="K347" i="1"/>
  <c r="I350" i="1"/>
  <c r="I374" i="1"/>
  <c r="I339" i="1"/>
  <c r="N339" i="1" s="1"/>
  <c r="K357" i="1"/>
  <c r="K361" i="1"/>
  <c r="K366" i="1"/>
  <c r="K378" i="1"/>
  <c r="K389" i="1"/>
  <c r="I314" i="1"/>
  <c r="I348" i="1"/>
  <c r="N348" i="1" s="1"/>
  <c r="I379" i="1"/>
  <c r="N379" i="1" s="1"/>
  <c r="I390" i="1"/>
  <c r="N390" i="1" s="1"/>
  <c r="N313" i="1"/>
  <c r="N319" i="1"/>
  <c r="N326" i="1"/>
  <c r="N347" i="1"/>
  <c r="I383" i="1"/>
  <c r="K383" i="1" s="1"/>
  <c r="I312" i="1"/>
  <c r="K312" i="1" s="1"/>
  <c r="I325" i="1"/>
  <c r="K325" i="1" s="1"/>
  <c r="I331" i="1"/>
  <c r="K331" i="1" s="1"/>
  <c r="I309" i="1"/>
  <c r="K309" i="1" s="1"/>
  <c r="I315" i="1"/>
  <c r="K315" i="1" s="1"/>
  <c r="I335" i="1"/>
  <c r="K335" i="1" s="1"/>
  <c r="I349" i="1"/>
  <c r="K349" i="1" s="1"/>
  <c r="I360" i="1"/>
  <c r="K360" i="1" s="1"/>
  <c r="I369" i="1"/>
  <c r="I373" i="1"/>
  <c r="K373" i="1" s="1"/>
  <c r="F394" i="1"/>
  <c r="F295" i="1"/>
  <c r="L225" i="1" l="1"/>
  <c r="K260" i="3"/>
  <c r="N247" i="3"/>
  <c r="K51" i="3"/>
  <c r="K154" i="3"/>
  <c r="K93" i="3"/>
  <c r="N172" i="3"/>
  <c r="K194" i="3"/>
  <c r="L228" i="1"/>
  <c r="K63" i="3"/>
  <c r="K156" i="3"/>
  <c r="K219" i="1"/>
  <c r="I160" i="1"/>
  <c r="N160" i="1" s="1"/>
  <c r="O160" i="1" s="1"/>
  <c r="K156" i="1"/>
  <c r="I159" i="1"/>
  <c r="K159" i="1" s="1"/>
  <c r="K339" i="1"/>
  <c r="N155" i="1"/>
  <c r="K155" i="1"/>
  <c r="I161" i="1"/>
  <c r="K161" i="1" s="1"/>
  <c r="N161" i="1"/>
  <c r="O161" i="1" s="1"/>
  <c r="K157" i="1"/>
  <c r="K99" i="3"/>
  <c r="N96" i="3"/>
  <c r="K50" i="3"/>
  <c r="K144" i="3"/>
  <c r="K145" i="3"/>
  <c r="K143" i="3"/>
  <c r="K57" i="3"/>
  <c r="N100" i="3"/>
  <c r="N199" i="3"/>
  <c r="K62" i="3"/>
  <c r="K126" i="3"/>
  <c r="K202" i="3"/>
  <c r="K151" i="3"/>
  <c r="K211" i="3"/>
  <c r="N182" i="3"/>
  <c r="K212" i="3"/>
  <c r="K149" i="3"/>
  <c r="K210" i="3"/>
  <c r="K200" i="3"/>
  <c r="P43" i="3"/>
  <c r="K88" i="3"/>
  <c r="N94" i="3"/>
  <c r="N150" i="3"/>
  <c r="K527" i="1"/>
  <c r="N528" i="1"/>
  <c r="K277" i="1"/>
  <c r="K393" i="1"/>
  <c r="K294" i="1"/>
  <c r="I295" i="1"/>
  <c r="K295" i="1" s="1"/>
  <c r="N310" i="1"/>
  <c r="I394" i="1"/>
  <c r="K394" i="1" s="1"/>
  <c r="N527" i="1"/>
  <c r="K528" i="1"/>
  <c r="I228" i="1"/>
  <c r="K228" i="1" s="1"/>
  <c r="I225" i="1"/>
  <c r="K225" i="1" s="1"/>
  <c r="N149" i="1"/>
  <c r="K148" i="1"/>
  <c r="N152" i="1"/>
  <c r="K150" i="1"/>
  <c r="N147" i="1"/>
  <c r="K149" i="1"/>
  <c r="K137" i="1"/>
  <c r="N140" i="1"/>
  <c r="K140" i="1"/>
  <c r="K272" i="3"/>
  <c r="J293" i="3" s="1"/>
  <c r="N272" i="3"/>
  <c r="N276" i="3"/>
  <c r="N278" i="3"/>
  <c r="N288" i="3"/>
  <c r="N283" i="3"/>
  <c r="K41" i="3"/>
  <c r="J43" i="3" s="1"/>
  <c r="J17" i="3"/>
  <c r="N314" i="1"/>
  <c r="K336" i="1"/>
  <c r="K337" i="1"/>
  <c r="N323" i="1"/>
  <c r="K369" i="1"/>
  <c r="K396" i="1"/>
  <c r="N397" i="1"/>
  <c r="N336" i="1"/>
  <c r="K353" i="1"/>
  <c r="N502" i="1"/>
  <c r="H499" i="1"/>
  <c r="I499" i="1" s="1"/>
  <c r="K386" i="1"/>
  <c r="K350" i="1"/>
  <c r="J499" i="1"/>
  <c r="N337" i="1"/>
  <c r="N325" i="1"/>
  <c r="N503" i="1"/>
  <c r="N387" i="1"/>
  <c r="K397" i="1"/>
  <c r="N312" i="1"/>
  <c r="N360" i="1"/>
  <c r="N396" i="1"/>
  <c r="N315" i="1"/>
  <c r="N383" i="1"/>
  <c r="N374" i="1"/>
  <c r="N350" i="1"/>
  <c r="K502" i="1"/>
  <c r="K323" i="1"/>
  <c r="K374" i="1"/>
  <c r="N373" i="1"/>
  <c r="K310" i="1"/>
  <c r="N349" i="1"/>
  <c r="K379" i="1"/>
  <c r="N309" i="1"/>
  <c r="N335" i="1"/>
  <c r="K390" i="1"/>
  <c r="K314" i="1"/>
  <c r="N369" i="1"/>
  <c r="K348" i="1"/>
  <c r="N331" i="1"/>
  <c r="N225" i="1" l="1"/>
  <c r="N159" i="1"/>
  <c r="O159" i="1" s="1"/>
  <c r="P159" i="1" s="1"/>
  <c r="Q159" i="1" s="1"/>
  <c r="P161" i="1"/>
  <c r="Q161" i="1" s="1"/>
  <c r="K160" i="1"/>
  <c r="P160" i="1" s="1"/>
  <c r="Q160" i="1" s="1"/>
  <c r="J268" i="3"/>
  <c r="P268" i="3"/>
  <c r="P293" i="3"/>
  <c r="R297" i="3"/>
  <c r="N394" i="1"/>
  <c r="N295" i="1"/>
  <c r="N228" i="1"/>
  <c r="K499" i="1"/>
  <c r="N499" i="1"/>
  <c r="J295" i="3" l="1"/>
  <c r="I441" i="1"/>
  <c r="I440" i="1"/>
  <c r="I439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20" i="1"/>
  <c r="I417" i="1"/>
  <c r="K417" i="1" s="1"/>
  <c r="I410" i="1"/>
  <c r="I411" i="1"/>
  <c r="I412" i="1"/>
  <c r="I413" i="1"/>
  <c r="I414" i="1"/>
  <c r="I406" i="1"/>
  <c r="H445" i="1"/>
  <c r="I445" i="1"/>
  <c r="J445" i="1"/>
  <c r="K445" i="1"/>
  <c r="L445" i="1"/>
  <c r="M445" i="1"/>
  <c r="N445" i="1"/>
  <c r="O445" i="1"/>
  <c r="P445" i="1"/>
  <c r="Q445" i="1"/>
  <c r="I168" i="1"/>
  <c r="K168" i="1" s="1"/>
  <c r="I169" i="1"/>
  <c r="I170" i="1"/>
  <c r="I205" i="1"/>
  <c r="K205" i="1" s="1"/>
  <c r="I204" i="1"/>
  <c r="K204" i="1" s="1"/>
  <c r="I203" i="1"/>
  <c r="K203" i="1" s="1"/>
  <c r="I202" i="1"/>
  <c r="K202" i="1" s="1"/>
  <c r="I201" i="1"/>
  <c r="I195" i="1"/>
  <c r="K195" i="1" s="1"/>
  <c r="I196" i="1"/>
  <c r="K196" i="1" s="1"/>
  <c r="I197" i="1"/>
  <c r="K197" i="1" s="1"/>
  <c r="I198" i="1"/>
  <c r="K198" i="1" s="1"/>
  <c r="I184" i="1"/>
  <c r="K184" i="1" s="1"/>
  <c r="I185" i="1"/>
  <c r="K185" i="1" s="1"/>
  <c r="I186" i="1"/>
  <c r="K186" i="1" s="1"/>
  <c r="I187" i="1"/>
  <c r="K187" i="1" s="1"/>
  <c r="I188" i="1"/>
  <c r="K188" i="1" s="1"/>
  <c r="I189" i="1"/>
  <c r="K189" i="1" s="1"/>
  <c r="I190" i="1"/>
  <c r="K190" i="1" s="1"/>
  <c r="I174" i="1"/>
  <c r="K174" i="1" s="1"/>
  <c r="I175" i="1"/>
  <c r="K175" i="1" s="1"/>
  <c r="I176" i="1"/>
  <c r="K176" i="1" s="1"/>
  <c r="I177" i="1"/>
  <c r="K177" i="1" s="1"/>
  <c r="I178" i="1"/>
  <c r="K178" i="1" s="1"/>
  <c r="I179" i="1"/>
  <c r="K179" i="1" s="1"/>
  <c r="I180" i="1"/>
  <c r="K180" i="1" s="1"/>
  <c r="H258" i="1"/>
  <c r="I258" i="1" s="1"/>
  <c r="H259" i="1"/>
  <c r="I259" i="1" s="1"/>
  <c r="H260" i="1"/>
  <c r="I260" i="1" s="1"/>
  <c r="H261" i="1"/>
  <c r="I261" i="1" s="1"/>
  <c r="I248" i="1"/>
  <c r="I249" i="1"/>
  <c r="I250" i="1"/>
  <c r="K250" i="1" s="1"/>
  <c r="I251" i="1"/>
  <c r="I252" i="1"/>
  <c r="I243" i="1"/>
  <c r="I244" i="1"/>
  <c r="H134" i="1"/>
  <c r="I134" i="1" s="1"/>
  <c r="H128" i="1"/>
  <c r="I128" i="1" s="1"/>
  <c r="Q127" i="1"/>
  <c r="P127" i="1"/>
  <c r="O127" i="1"/>
  <c r="N127" i="1"/>
  <c r="L127" i="1"/>
  <c r="K127" i="1"/>
  <c r="I127" i="1"/>
  <c r="H127" i="1"/>
  <c r="I100" i="1"/>
  <c r="I101" i="1"/>
  <c r="I81" i="1"/>
  <c r="K81" i="1" s="1"/>
  <c r="I103" i="1"/>
  <c r="I104" i="1"/>
  <c r="I105" i="1"/>
  <c r="I106" i="1"/>
  <c r="F59" i="1"/>
  <c r="F58" i="1"/>
  <c r="F54" i="1"/>
  <c r="I54" i="1" s="1"/>
  <c r="F52" i="1"/>
  <c r="I52" i="1" s="1"/>
  <c r="F51" i="1"/>
  <c r="I51" i="1" s="1"/>
  <c r="F50" i="1"/>
  <c r="I50" i="1" s="1"/>
  <c r="F49" i="1"/>
  <c r="I49" i="1" s="1"/>
  <c r="F45" i="1"/>
  <c r="F27" i="1"/>
  <c r="F25" i="1"/>
  <c r="I25" i="1" s="1"/>
  <c r="F24" i="1"/>
  <c r="I24" i="1" s="1"/>
  <c r="F23" i="1"/>
  <c r="F36" i="1"/>
  <c r="F34" i="1"/>
  <c r="J34" i="1" s="1"/>
  <c r="F31" i="1"/>
  <c r="I31" i="1" s="1"/>
  <c r="F33" i="1"/>
  <c r="I33" i="1" s="1"/>
  <c r="F32" i="1"/>
  <c r="I32" i="1" s="1"/>
  <c r="F43" i="1"/>
  <c r="F42" i="1"/>
  <c r="I42" i="1" s="1"/>
  <c r="F39" i="1"/>
  <c r="F41" i="1" s="1"/>
  <c r="I36" i="1" l="1"/>
  <c r="J36" i="1"/>
  <c r="N413" i="1"/>
  <c r="N426" i="1"/>
  <c r="K434" i="1"/>
  <c r="N435" i="1"/>
  <c r="K414" i="1"/>
  <c r="N433" i="1"/>
  <c r="N425" i="1"/>
  <c r="K422" i="1"/>
  <c r="N423" i="1"/>
  <c r="N422" i="1"/>
  <c r="K423" i="1"/>
  <c r="K426" i="1"/>
  <c r="K439" i="1"/>
  <c r="N411" i="1"/>
  <c r="K411" i="1"/>
  <c r="K435" i="1"/>
  <c r="N430" i="1"/>
  <c r="K436" i="1"/>
  <c r="K424" i="1"/>
  <c r="N440" i="1"/>
  <c r="N417" i="1"/>
  <c r="N431" i="1"/>
  <c r="K441" i="1"/>
  <c r="N410" i="1"/>
  <c r="N427" i="1"/>
  <c r="K410" i="1"/>
  <c r="N432" i="1"/>
  <c r="K427" i="1"/>
  <c r="K425" i="1"/>
  <c r="K413" i="1"/>
  <c r="K420" i="1"/>
  <c r="K432" i="1"/>
  <c r="K430" i="1"/>
  <c r="K428" i="1"/>
  <c r="N436" i="1"/>
  <c r="N429" i="1"/>
  <c r="N424" i="1"/>
  <c r="N421" i="1"/>
  <c r="N439" i="1"/>
  <c r="N434" i="1"/>
  <c r="K433" i="1"/>
  <c r="N441" i="1"/>
  <c r="K431" i="1"/>
  <c r="K429" i="1"/>
  <c r="K421" i="1"/>
  <c r="K440" i="1"/>
  <c r="N428" i="1"/>
  <c r="K412" i="1"/>
  <c r="K406" i="1"/>
  <c r="N406" i="1"/>
  <c r="N414" i="1"/>
  <c r="N412" i="1"/>
  <c r="N420" i="1"/>
  <c r="K201" i="1"/>
  <c r="K169" i="1"/>
  <c r="K170" i="1"/>
  <c r="N169" i="1"/>
  <c r="N168" i="1"/>
  <c r="N170" i="1"/>
  <c r="N203" i="1"/>
  <c r="N196" i="1"/>
  <c r="N202" i="1"/>
  <c r="N204" i="1"/>
  <c r="N201" i="1"/>
  <c r="N205" i="1"/>
  <c r="N197" i="1"/>
  <c r="N198" i="1"/>
  <c r="N187" i="1"/>
  <c r="N195" i="1"/>
  <c r="N190" i="1"/>
  <c r="N188" i="1"/>
  <c r="N189" i="1"/>
  <c r="N175" i="1"/>
  <c r="N186" i="1"/>
  <c r="N185" i="1"/>
  <c r="N174" i="1"/>
  <c r="N184" i="1"/>
  <c r="N180" i="1"/>
  <c r="N179" i="1"/>
  <c r="N177" i="1"/>
  <c r="N176" i="1"/>
  <c r="N178" i="1"/>
  <c r="N261" i="1"/>
  <c r="N259" i="1"/>
  <c r="K259" i="1"/>
  <c r="K261" i="1"/>
  <c r="N260" i="1"/>
  <c r="K258" i="1"/>
  <c r="K260" i="1"/>
  <c r="N258" i="1"/>
  <c r="N251" i="1"/>
  <c r="N248" i="1"/>
  <c r="N243" i="1"/>
  <c r="K243" i="1"/>
  <c r="K251" i="1"/>
  <c r="N244" i="1"/>
  <c r="K244" i="1"/>
  <c r="N250" i="1"/>
  <c r="N249" i="1"/>
  <c r="K249" i="1"/>
  <c r="K252" i="1"/>
  <c r="N252" i="1"/>
  <c r="K248" i="1"/>
  <c r="N134" i="1"/>
  <c r="K134" i="1"/>
  <c r="N128" i="1"/>
  <c r="N105" i="1"/>
  <c r="K128" i="1"/>
  <c r="N103" i="1"/>
  <c r="K101" i="1"/>
  <c r="K103" i="1"/>
  <c r="K105" i="1"/>
  <c r="N101" i="1"/>
  <c r="N106" i="1"/>
  <c r="N81" i="1"/>
  <c r="N100" i="1"/>
  <c r="K100" i="1"/>
  <c r="K106" i="1"/>
  <c r="K104" i="1"/>
  <c r="N104" i="1"/>
  <c r="N52" i="1"/>
  <c r="N51" i="1"/>
  <c r="K52" i="1"/>
  <c r="K51" i="1"/>
  <c r="I59" i="1"/>
  <c r="N54" i="1"/>
  <c r="I58" i="1"/>
  <c r="N50" i="1"/>
  <c r="K54" i="1"/>
  <c r="K50" i="1"/>
  <c r="N49" i="1"/>
  <c r="F53" i="1"/>
  <c r="K49" i="1"/>
  <c r="I45" i="1"/>
  <c r="K45" i="1" s="1"/>
  <c r="K24" i="1"/>
  <c r="F44" i="1"/>
  <c r="I27" i="1"/>
  <c r="J27" i="1"/>
  <c r="N25" i="1"/>
  <c r="F26" i="1"/>
  <c r="J25" i="1"/>
  <c r="K25" i="1" s="1"/>
  <c r="N24" i="1"/>
  <c r="F35" i="1"/>
  <c r="J35" i="1" s="1"/>
  <c r="N36" i="1"/>
  <c r="K36" i="1"/>
  <c r="I34" i="1"/>
  <c r="N32" i="1"/>
  <c r="N33" i="1"/>
  <c r="K32" i="1"/>
  <c r="K33" i="1"/>
  <c r="N31" i="1"/>
  <c r="K31" i="1"/>
  <c r="I43" i="1"/>
  <c r="K43" i="1" s="1"/>
  <c r="I41" i="1"/>
  <c r="F40" i="1"/>
  <c r="N42" i="1"/>
  <c r="K42" i="1"/>
  <c r="K59" i="1" l="1"/>
  <c r="N58" i="1"/>
  <c r="K58" i="1"/>
  <c r="N59" i="1"/>
  <c r="I53" i="1"/>
  <c r="N45" i="1"/>
  <c r="I44" i="1"/>
  <c r="N27" i="1"/>
  <c r="K27" i="1"/>
  <c r="I26" i="1"/>
  <c r="J26" i="1"/>
  <c r="N34" i="1"/>
  <c r="I35" i="1"/>
  <c r="N35" i="1" s="1"/>
  <c r="K34" i="1"/>
  <c r="N41" i="1"/>
  <c r="K41" i="1"/>
  <c r="N43" i="1"/>
  <c r="I40" i="1"/>
  <c r="K53" i="1" l="1"/>
  <c r="N53" i="1"/>
  <c r="K44" i="1"/>
  <c r="K35" i="1"/>
  <c r="N26" i="1"/>
  <c r="N44" i="1"/>
  <c r="K26" i="1"/>
  <c r="K40" i="1"/>
  <c r="N40" i="1"/>
  <c r="I242" i="1" l="1"/>
  <c r="I241" i="1"/>
  <c r="I240" i="1"/>
  <c r="I239" i="1"/>
  <c r="I238" i="1"/>
  <c r="I237" i="1"/>
  <c r="Q37" i="1"/>
  <c r="P37" i="1"/>
  <c r="O37" i="1"/>
  <c r="N37" i="1"/>
  <c r="M37" i="1"/>
  <c r="L37" i="1"/>
  <c r="K37" i="1"/>
  <c r="J37" i="1"/>
  <c r="I37" i="1"/>
  <c r="H37" i="1"/>
  <c r="Q29" i="1"/>
  <c r="P29" i="1"/>
  <c r="O29" i="1"/>
  <c r="N29" i="1"/>
  <c r="M29" i="1"/>
  <c r="L29" i="1"/>
  <c r="K29" i="1"/>
  <c r="J29" i="1"/>
  <c r="I29" i="1"/>
  <c r="H29" i="1"/>
  <c r="I23" i="1"/>
  <c r="I112" i="1"/>
  <c r="I111" i="1"/>
  <c r="I110" i="1"/>
  <c r="I109" i="1"/>
  <c r="K112" i="1" l="1"/>
  <c r="N112" i="1"/>
  <c r="K111" i="1"/>
  <c r="K109" i="1"/>
  <c r="N109" i="1"/>
  <c r="N111" i="1"/>
  <c r="K110" i="1"/>
  <c r="N110" i="1"/>
  <c r="N241" i="1"/>
  <c r="K237" i="1"/>
  <c r="N237" i="1"/>
  <c r="K239" i="1"/>
  <c r="K241" i="1"/>
  <c r="N239" i="1"/>
  <c r="N238" i="1"/>
  <c r="N242" i="1"/>
  <c r="K240" i="1"/>
  <c r="N240" i="1"/>
  <c r="K238" i="1"/>
  <c r="K242" i="1"/>
  <c r="N23" i="1"/>
  <c r="K23" i="1"/>
  <c r="I74" i="1"/>
  <c r="Q73" i="1"/>
  <c r="P73" i="1"/>
  <c r="O73" i="1"/>
  <c r="N73" i="1"/>
  <c r="M73" i="1"/>
  <c r="L73" i="1"/>
  <c r="K73" i="1"/>
  <c r="I73" i="1"/>
  <c r="H73" i="1"/>
  <c r="I232" i="1"/>
  <c r="H213" i="1"/>
  <c r="I213" i="1" s="1"/>
  <c r="K74" i="1" l="1"/>
  <c r="N74" i="1"/>
  <c r="N232" i="1"/>
  <c r="K232" i="1"/>
  <c r="N213" i="1"/>
  <c r="K213" i="1"/>
  <c r="H402" i="1"/>
  <c r="I408" i="1"/>
  <c r="H442" i="1"/>
  <c r="L494" i="1"/>
  <c r="L401" i="1"/>
  <c r="L402" i="1"/>
  <c r="L442" i="1"/>
  <c r="I409" i="1"/>
  <c r="I403" i="1"/>
  <c r="Q402" i="1"/>
  <c r="P402" i="1"/>
  <c r="O402" i="1"/>
  <c r="N402" i="1"/>
  <c r="M402" i="1"/>
  <c r="K402" i="1"/>
  <c r="J402" i="1"/>
  <c r="I402" i="1"/>
  <c r="Q401" i="1"/>
  <c r="P401" i="1"/>
  <c r="O401" i="1"/>
  <c r="N401" i="1"/>
  <c r="M401" i="1"/>
  <c r="K401" i="1"/>
  <c r="J401" i="1"/>
  <c r="I401" i="1"/>
  <c r="H401" i="1"/>
  <c r="L398" i="1"/>
  <c r="L296" i="1"/>
  <c r="N409" i="1" l="1"/>
  <c r="K408" i="1"/>
  <c r="N403" i="1"/>
  <c r="K409" i="1"/>
  <c r="K403" i="1"/>
  <c r="N408" i="1"/>
  <c r="L532" i="1"/>
  <c r="L513" i="1"/>
  <c r="L504" i="1"/>
  <c r="L265" i="1"/>
  <c r="L269" i="1"/>
  <c r="L271" i="1"/>
  <c r="L256" i="1"/>
  <c r="L262" i="1"/>
  <c r="L236" i="1"/>
  <c r="L245" i="1"/>
  <c r="L246" i="1"/>
  <c r="L253" i="1"/>
  <c r="L233" i="1"/>
  <c r="L163" i="1"/>
  <c r="L165" i="1"/>
  <c r="L166" i="1"/>
  <c r="L171" i="1"/>
  <c r="L172" i="1"/>
  <c r="L192" i="1"/>
  <c r="L193" i="1"/>
  <c r="L208" i="1"/>
  <c r="L210" i="1"/>
  <c r="L211" i="1"/>
  <c r="L230" i="1"/>
  <c r="L117" i="1"/>
  <c r="L129" i="1"/>
  <c r="L130" i="1"/>
  <c r="L142" i="1"/>
  <c r="L90" i="1"/>
  <c r="L91" i="1"/>
  <c r="L93" i="1"/>
  <c r="L94" i="1"/>
  <c r="L98" i="1"/>
  <c r="L108" i="1"/>
  <c r="L114" i="1"/>
  <c r="L88" i="1"/>
  <c r="L72" i="1"/>
  <c r="L75" i="1"/>
  <c r="L76" i="1"/>
  <c r="L80" i="1"/>
  <c r="L83" i="1"/>
  <c r="L63" i="1"/>
  <c r="L65" i="1"/>
  <c r="L66" i="1"/>
  <c r="L69" i="1"/>
  <c r="L20" i="1"/>
  <c r="L21" i="1"/>
  <c r="L38" i="1"/>
  <c r="L46" i="1"/>
  <c r="L60" i="1"/>
  <c r="L16" i="1"/>
  <c r="L10" i="1"/>
  <c r="J12" i="1"/>
  <c r="H12" i="1"/>
  <c r="I12" i="1" s="1"/>
  <c r="K12" i="1" l="1"/>
  <c r="Q230" i="1" l="1"/>
  <c r="P230" i="1"/>
  <c r="O230" i="1"/>
  <c r="N230" i="1"/>
  <c r="M230" i="1"/>
  <c r="K230" i="1"/>
  <c r="J230" i="1"/>
  <c r="I230" i="1"/>
  <c r="H230" i="1"/>
  <c r="I216" i="1"/>
  <c r="K216" i="1" s="1"/>
  <c r="N216" i="1" l="1"/>
  <c r="O7" i="2"/>
  <c r="O17" i="2"/>
  <c r="O22" i="2"/>
  <c r="O26" i="2"/>
  <c r="P532" i="1" l="1"/>
  <c r="Q532" i="1"/>
  <c r="P513" i="1"/>
  <c r="Q513" i="1"/>
  <c r="P504" i="1"/>
  <c r="Q504" i="1"/>
  <c r="P494" i="1"/>
  <c r="Q494" i="1"/>
  <c r="P442" i="1"/>
  <c r="Q442" i="1"/>
  <c r="P398" i="1"/>
  <c r="Q398" i="1"/>
  <c r="P296" i="1"/>
  <c r="Q296" i="1"/>
  <c r="P265" i="1"/>
  <c r="Q265" i="1"/>
  <c r="P269" i="1"/>
  <c r="Q269" i="1"/>
  <c r="P271" i="1"/>
  <c r="Q271" i="1"/>
  <c r="P256" i="1"/>
  <c r="Q256" i="1"/>
  <c r="P262" i="1"/>
  <c r="Q262" i="1"/>
  <c r="P236" i="1"/>
  <c r="Q236" i="1"/>
  <c r="P246" i="1"/>
  <c r="Q246" i="1"/>
  <c r="P253" i="1"/>
  <c r="Q253" i="1"/>
  <c r="P163" i="1"/>
  <c r="Q163" i="1"/>
  <c r="P165" i="1"/>
  <c r="Q165" i="1"/>
  <c r="P166" i="1"/>
  <c r="Q166" i="1"/>
  <c r="P171" i="1"/>
  <c r="Q171" i="1"/>
  <c r="P172" i="1"/>
  <c r="Q172" i="1"/>
  <c r="P192" i="1"/>
  <c r="Q192" i="1"/>
  <c r="P193" i="1"/>
  <c r="Q193" i="1"/>
  <c r="P208" i="1"/>
  <c r="Q208" i="1"/>
  <c r="P210" i="1"/>
  <c r="Q210" i="1"/>
  <c r="P211" i="1"/>
  <c r="Q211" i="1"/>
  <c r="P117" i="1"/>
  <c r="Q117" i="1"/>
  <c r="P129" i="1"/>
  <c r="Q129" i="1"/>
  <c r="P130" i="1"/>
  <c r="Q130" i="1"/>
  <c r="P142" i="1"/>
  <c r="Q142" i="1"/>
  <c r="P90" i="1"/>
  <c r="Q90" i="1"/>
  <c r="P91" i="1"/>
  <c r="Q91" i="1"/>
  <c r="P93" i="1"/>
  <c r="Q93" i="1"/>
  <c r="P94" i="1"/>
  <c r="Q94" i="1"/>
  <c r="P98" i="1"/>
  <c r="Q98" i="1"/>
  <c r="P108" i="1"/>
  <c r="Q108" i="1"/>
  <c r="P114" i="1"/>
  <c r="Q114" i="1"/>
  <c r="P72" i="1"/>
  <c r="Q72" i="1"/>
  <c r="P75" i="1"/>
  <c r="Q75" i="1"/>
  <c r="P76" i="1"/>
  <c r="Q76" i="1"/>
  <c r="P80" i="1"/>
  <c r="Q80" i="1"/>
  <c r="P83" i="1"/>
  <c r="Q83" i="1"/>
  <c r="P63" i="1"/>
  <c r="Q63" i="1"/>
  <c r="P65" i="1"/>
  <c r="Q65" i="1"/>
  <c r="P66" i="1"/>
  <c r="Q66" i="1"/>
  <c r="P69" i="1"/>
  <c r="Q69" i="1"/>
  <c r="P20" i="1"/>
  <c r="Q20" i="1"/>
  <c r="P21" i="1"/>
  <c r="Q21" i="1"/>
  <c r="P38" i="1"/>
  <c r="Q38" i="1"/>
  <c r="P46" i="1"/>
  <c r="Q46" i="1"/>
  <c r="P60" i="1"/>
  <c r="Q60" i="1"/>
  <c r="P16" i="1"/>
  <c r="Q16" i="1"/>
  <c r="Q88" i="1"/>
  <c r="P88" i="1"/>
  <c r="Q10" i="1"/>
  <c r="P10" i="1"/>
  <c r="H11" i="1"/>
  <c r="I84" i="1"/>
  <c r="O83" i="1"/>
  <c r="N83" i="1"/>
  <c r="K83" i="1"/>
  <c r="I83" i="1"/>
  <c r="H83" i="1"/>
  <c r="K84" i="1" l="1"/>
  <c r="N84" i="1"/>
  <c r="L32" i="2"/>
  <c r="L36" i="2" s="1"/>
  <c r="C22" i="2"/>
  <c r="C17" i="2"/>
  <c r="C7" i="2"/>
  <c r="C5" i="2"/>
  <c r="I270" i="1"/>
  <c r="O269" i="1"/>
  <c r="N269" i="1"/>
  <c r="M269" i="1"/>
  <c r="K269" i="1"/>
  <c r="J269" i="1"/>
  <c r="I269" i="1"/>
  <c r="H269" i="1"/>
  <c r="N270" i="1" l="1"/>
  <c r="K270" i="1"/>
  <c r="C9" i="2"/>
  <c r="C10" i="2"/>
  <c r="C11" i="2"/>
  <c r="C12" i="2"/>
  <c r="C13" i="2"/>
  <c r="C14" i="2"/>
  <c r="C15" i="2"/>
  <c r="C16" i="2"/>
  <c r="C18" i="2"/>
  <c r="C19" i="2"/>
  <c r="C20" i="2"/>
  <c r="C21" i="2"/>
  <c r="C23" i="2"/>
  <c r="C24" i="2"/>
  <c r="C25" i="2"/>
  <c r="B25" i="2"/>
  <c r="B24" i="2"/>
  <c r="B23" i="2"/>
  <c r="B21" i="2"/>
  <c r="B20" i="2"/>
  <c r="B19" i="2"/>
  <c r="B18" i="2"/>
  <c r="B16" i="2"/>
  <c r="B15" i="2"/>
  <c r="B14" i="2"/>
  <c r="B13" i="2"/>
  <c r="B12" i="2"/>
  <c r="B11" i="2"/>
  <c r="B10" i="2"/>
  <c r="B9" i="2"/>
  <c r="C8" i="2"/>
  <c r="B8" i="2"/>
  <c r="C6" i="2"/>
  <c r="B6" i="2"/>
  <c r="O192" i="1" l="1"/>
  <c r="N192" i="1"/>
  <c r="M192" i="1"/>
  <c r="K192" i="1"/>
  <c r="J192" i="1"/>
  <c r="I192" i="1"/>
  <c r="H192" i="1"/>
  <c r="I183" i="1"/>
  <c r="I173" i="1"/>
  <c r="O172" i="1"/>
  <c r="N172" i="1"/>
  <c r="M172" i="1"/>
  <c r="K172" i="1"/>
  <c r="J172" i="1"/>
  <c r="I172" i="1"/>
  <c r="H172" i="1"/>
  <c r="O171" i="1"/>
  <c r="N171" i="1"/>
  <c r="M171" i="1"/>
  <c r="K171" i="1"/>
  <c r="J171" i="1"/>
  <c r="I171" i="1"/>
  <c r="H171" i="1"/>
  <c r="I167" i="1"/>
  <c r="O166" i="1"/>
  <c r="N166" i="1"/>
  <c r="M166" i="1"/>
  <c r="K166" i="1"/>
  <c r="J166" i="1"/>
  <c r="I166" i="1"/>
  <c r="H166" i="1"/>
  <c r="I78" i="1"/>
  <c r="K167" i="1" l="1"/>
  <c r="N167" i="1"/>
  <c r="N183" i="1"/>
  <c r="K183" i="1"/>
  <c r="K173" i="1"/>
  <c r="N173" i="1"/>
  <c r="K78" i="1"/>
  <c r="N78" i="1"/>
  <c r="A532" i="1"/>
  <c r="A533" i="1"/>
  <c r="A534" i="1"/>
  <c r="A535" i="1"/>
  <c r="A536" i="1"/>
  <c r="A11" i="1"/>
  <c r="A10" i="1"/>
  <c r="A1" i="2" l="1"/>
  <c r="O494" i="1" l="1"/>
  <c r="N494" i="1"/>
  <c r="P495" i="1" s="1"/>
  <c r="M494" i="1"/>
  <c r="K494" i="1"/>
  <c r="J495" i="1" s="1"/>
  <c r="J494" i="1"/>
  <c r="I494" i="1"/>
  <c r="H494" i="1"/>
  <c r="O442" i="1"/>
  <c r="N442" i="1"/>
  <c r="P443" i="1" s="1"/>
  <c r="M442" i="1"/>
  <c r="K442" i="1"/>
  <c r="J443" i="1" s="1"/>
  <c r="J442" i="1"/>
  <c r="I442" i="1"/>
  <c r="O398" i="1"/>
  <c r="N398" i="1"/>
  <c r="P399" i="1" s="1"/>
  <c r="M398" i="1"/>
  <c r="K398" i="1"/>
  <c r="J399" i="1" s="1"/>
  <c r="J398" i="1"/>
  <c r="I398" i="1"/>
  <c r="H398" i="1"/>
  <c r="O296" i="1"/>
  <c r="N296" i="1"/>
  <c r="P297" i="1" s="1"/>
  <c r="M296" i="1"/>
  <c r="K296" i="1"/>
  <c r="J297" i="1" s="1"/>
  <c r="J296" i="1"/>
  <c r="I296" i="1"/>
  <c r="H296" i="1"/>
  <c r="O16" i="1"/>
  <c r="N16" i="1"/>
  <c r="M16" i="1"/>
  <c r="K16" i="1"/>
  <c r="J16" i="1"/>
  <c r="I16" i="1"/>
  <c r="H16" i="1"/>
  <c r="J14" i="1"/>
  <c r="H14" i="1"/>
  <c r="I14" i="1" s="1"/>
  <c r="J13" i="1"/>
  <c r="H13" i="1"/>
  <c r="I13" i="1" s="1"/>
  <c r="J11" i="1"/>
  <c r="I11" i="1"/>
  <c r="M10" i="1"/>
  <c r="N10" i="1" s="1"/>
  <c r="O10" i="1" s="1"/>
  <c r="J10" i="1"/>
  <c r="H10" i="1"/>
  <c r="I10" i="1" s="1"/>
  <c r="K11" i="1" l="1"/>
  <c r="K14" i="1"/>
  <c r="K13" i="1"/>
  <c r="K10" i="1"/>
  <c r="D19" i="2"/>
  <c r="F19" i="2" s="1"/>
  <c r="D21" i="2"/>
  <c r="F21" i="2" s="1"/>
  <c r="D18" i="2"/>
  <c r="F18" i="2" s="1"/>
  <c r="H233" i="1"/>
  <c r="I233" i="1" s="1"/>
  <c r="N233" i="1" s="1"/>
  <c r="O233" i="1" s="1"/>
  <c r="H532" i="1"/>
  <c r="I532" i="1"/>
  <c r="J532" i="1"/>
  <c r="K532" i="1"/>
  <c r="J533" i="1" s="1"/>
  <c r="M532" i="1"/>
  <c r="N532" i="1"/>
  <c r="P533" i="1" s="1"/>
  <c r="O532" i="1"/>
  <c r="H513" i="1"/>
  <c r="I513" i="1"/>
  <c r="J513" i="1"/>
  <c r="K513" i="1"/>
  <c r="J514" i="1" s="1"/>
  <c r="M513" i="1"/>
  <c r="N513" i="1"/>
  <c r="P514" i="1" s="1"/>
  <c r="O513" i="1"/>
  <c r="H504" i="1"/>
  <c r="I504" i="1"/>
  <c r="J504" i="1"/>
  <c r="K504" i="1"/>
  <c r="J505" i="1" s="1"/>
  <c r="M504" i="1"/>
  <c r="N504" i="1"/>
  <c r="P505" i="1" s="1"/>
  <c r="O504" i="1"/>
  <c r="P536" i="1"/>
  <c r="O536" i="1"/>
  <c r="N536" i="1"/>
  <c r="M536" i="1"/>
  <c r="L536" i="1"/>
  <c r="K536" i="1"/>
  <c r="J536" i="1"/>
  <c r="I536" i="1"/>
  <c r="H536" i="1"/>
  <c r="P534" i="1"/>
  <c r="O534" i="1"/>
  <c r="N534" i="1"/>
  <c r="M534" i="1"/>
  <c r="L534" i="1"/>
  <c r="K534" i="1"/>
  <c r="J534" i="1"/>
  <c r="I534" i="1"/>
  <c r="H534" i="1"/>
  <c r="O271" i="1"/>
  <c r="N271" i="1"/>
  <c r="M271" i="1"/>
  <c r="K271" i="1"/>
  <c r="J271" i="1"/>
  <c r="I271" i="1"/>
  <c r="H271" i="1"/>
  <c r="I267" i="1"/>
  <c r="I266" i="1"/>
  <c r="O265" i="1"/>
  <c r="N265" i="1"/>
  <c r="M265" i="1"/>
  <c r="K265" i="1"/>
  <c r="J265" i="1"/>
  <c r="I265" i="1"/>
  <c r="H265" i="1"/>
  <c r="O262" i="1"/>
  <c r="N262" i="1"/>
  <c r="M262" i="1"/>
  <c r="K262" i="1"/>
  <c r="J262" i="1"/>
  <c r="I262" i="1"/>
  <c r="H262" i="1"/>
  <c r="H257" i="1"/>
  <c r="I257" i="1" s="1"/>
  <c r="O256" i="1"/>
  <c r="N256" i="1"/>
  <c r="M256" i="1"/>
  <c r="K256" i="1"/>
  <c r="I256" i="1"/>
  <c r="H256" i="1"/>
  <c r="O253" i="1"/>
  <c r="N253" i="1"/>
  <c r="M253" i="1"/>
  <c r="K253" i="1"/>
  <c r="I253" i="1"/>
  <c r="H253" i="1"/>
  <c r="I247" i="1"/>
  <c r="O246" i="1"/>
  <c r="N246" i="1"/>
  <c r="M246" i="1"/>
  <c r="K246" i="1"/>
  <c r="I246" i="1"/>
  <c r="H246" i="1"/>
  <c r="M245" i="1"/>
  <c r="H245" i="1"/>
  <c r="I245" i="1" s="1"/>
  <c r="K245" i="1" s="1"/>
  <c r="O236" i="1"/>
  <c r="N236" i="1"/>
  <c r="M236" i="1"/>
  <c r="K236" i="1"/>
  <c r="J236" i="1"/>
  <c r="I236" i="1"/>
  <c r="H236" i="1"/>
  <c r="M233" i="1"/>
  <c r="J233" i="1"/>
  <c r="K233" i="1" s="1"/>
  <c r="I231" i="1"/>
  <c r="O211" i="1"/>
  <c r="N211" i="1"/>
  <c r="M211" i="1"/>
  <c r="K211" i="1"/>
  <c r="J211" i="1"/>
  <c r="I211" i="1"/>
  <c r="H211" i="1"/>
  <c r="O210" i="1"/>
  <c r="N210" i="1"/>
  <c r="M210" i="1"/>
  <c r="K210" i="1"/>
  <c r="J210" i="1"/>
  <c r="I210" i="1"/>
  <c r="H210" i="1"/>
  <c r="I209" i="1"/>
  <c r="O208" i="1"/>
  <c r="N208" i="1"/>
  <c r="M208" i="1"/>
  <c r="K208" i="1"/>
  <c r="J208" i="1"/>
  <c r="I208" i="1"/>
  <c r="H208" i="1"/>
  <c r="I194" i="1"/>
  <c r="O193" i="1"/>
  <c r="N193" i="1"/>
  <c r="M193" i="1"/>
  <c r="K193" i="1"/>
  <c r="J193" i="1"/>
  <c r="I193" i="1"/>
  <c r="H193" i="1"/>
  <c r="O165" i="1"/>
  <c r="N165" i="1"/>
  <c r="M165" i="1"/>
  <c r="K165" i="1"/>
  <c r="J165" i="1"/>
  <c r="I165" i="1"/>
  <c r="H165" i="1"/>
  <c r="I164" i="1"/>
  <c r="O163" i="1"/>
  <c r="N163" i="1"/>
  <c r="M163" i="1"/>
  <c r="K163" i="1"/>
  <c r="J163" i="1"/>
  <c r="I163" i="1"/>
  <c r="H163" i="1"/>
  <c r="O142" i="1"/>
  <c r="N142" i="1"/>
  <c r="M142" i="1"/>
  <c r="K142" i="1"/>
  <c r="J142" i="1"/>
  <c r="I142" i="1"/>
  <c r="H142" i="1"/>
  <c r="H133" i="1"/>
  <c r="I133" i="1" s="1"/>
  <c r="H132" i="1"/>
  <c r="I132" i="1" s="1"/>
  <c r="H131" i="1"/>
  <c r="I131" i="1" s="1"/>
  <c r="O130" i="1"/>
  <c r="N130" i="1"/>
  <c r="K130" i="1"/>
  <c r="I130" i="1"/>
  <c r="H130" i="1"/>
  <c r="O129" i="1"/>
  <c r="N129" i="1"/>
  <c r="K129" i="1"/>
  <c r="I129" i="1"/>
  <c r="H129" i="1"/>
  <c r="H120" i="1"/>
  <c r="I120" i="1" s="1"/>
  <c r="H119" i="1"/>
  <c r="I119" i="1" s="1"/>
  <c r="H118" i="1"/>
  <c r="I118" i="1" s="1"/>
  <c r="O117" i="1"/>
  <c r="N117" i="1"/>
  <c r="M117" i="1"/>
  <c r="K117" i="1"/>
  <c r="J117" i="1"/>
  <c r="I117" i="1"/>
  <c r="H117" i="1"/>
  <c r="O114" i="1"/>
  <c r="N114" i="1"/>
  <c r="M114" i="1"/>
  <c r="K114" i="1"/>
  <c r="J114" i="1"/>
  <c r="I114" i="1"/>
  <c r="H114" i="1"/>
  <c r="O108" i="1"/>
  <c r="N108" i="1"/>
  <c r="K108" i="1"/>
  <c r="I108" i="1"/>
  <c r="H108" i="1"/>
  <c r="I99" i="1"/>
  <c r="O98" i="1"/>
  <c r="N98" i="1"/>
  <c r="K98" i="1"/>
  <c r="I98" i="1"/>
  <c r="H98" i="1"/>
  <c r="I96" i="1"/>
  <c r="I95" i="1"/>
  <c r="O94" i="1"/>
  <c r="N94" i="1"/>
  <c r="K94" i="1"/>
  <c r="I94" i="1"/>
  <c r="H94" i="1"/>
  <c r="O93" i="1"/>
  <c r="N93" i="1"/>
  <c r="K93" i="1"/>
  <c r="I93" i="1"/>
  <c r="H93" i="1"/>
  <c r="O91" i="1"/>
  <c r="N91" i="1"/>
  <c r="K91" i="1"/>
  <c r="I91" i="1"/>
  <c r="H91" i="1"/>
  <c r="O90" i="1"/>
  <c r="N90" i="1"/>
  <c r="K90" i="1"/>
  <c r="I90" i="1"/>
  <c r="H90" i="1"/>
  <c r="I89" i="1"/>
  <c r="O88" i="1"/>
  <c r="N88" i="1"/>
  <c r="M88" i="1"/>
  <c r="K88" i="1"/>
  <c r="J88" i="1"/>
  <c r="I88" i="1"/>
  <c r="H88" i="1"/>
  <c r="O80" i="1"/>
  <c r="N80" i="1"/>
  <c r="K80" i="1"/>
  <c r="I80" i="1"/>
  <c r="H80" i="1"/>
  <c r="I77" i="1"/>
  <c r="O76" i="1"/>
  <c r="N76" i="1"/>
  <c r="K76" i="1"/>
  <c r="I76" i="1"/>
  <c r="H76" i="1"/>
  <c r="O75" i="1"/>
  <c r="N75" i="1"/>
  <c r="K75" i="1"/>
  <c r="I75" i="1"/>
  <c r="H75" i="1"/>
  <c r="O72" i="1"/>
  <c r="N72" i="1"/>
  <c r="M72" i="1"/>
  <c r="K72" i="1"/>
  <c r="J72" i="1"/>
  <c r="I72" i="1"/>
  <c r="H72" i="1"/>
  <c r="O69" i="1"/>
  <c r="N69" i="1"/>
  <c r="M69" i="1"/>
  <c r="K69" i="1"/>
  <c r="J69" i="1"/>
  <c r="I69" i="1"/>
  <c r="H69" i="1"/>
  <c r="H68" i="1"/>
  <c r="I68" i="1" s="1"/>
  <c r="H67" i="1"/>
  <c r="I67" i="1" s="1"/>
  <c r="O66" i="1"/>
  <c r="N66" i="1"/>
  <c r="K66" i="1"/>
  <c r="I66" i="1"/>
  <c r="H66" i="1"/>
  <c r="O65" i="1"/>
  <c r="N65" i="1"/>
  <c r="K65" i="1"/>
  <c r="I65" i="1"/>
  <c r="H65" i="1"/>
  <c r="I64" i="1"/>
  <c r="O63" i="1"/>
  <c r="N63" i="1"/>
  <c r="M63" i="1"/>
  <c r="K63" i="1"/>
  <c r="J63" i="1"/>
  <c r="I63" i="1"/>
  <c r="H63" i="1"/>
  <c r="O60" i="1"/>
  <c r="N60" i="1"/>
  <c r="M60" i="1"/>
  <c r="K60" i="1"/>
  <c r="J60" i="1"/>
  <c r="I60" i="1"/>
  <c r="H60" i="1"/>
  <c r="O46" i="1"/>
  <c r="N46" i="1"/>
  <c r="K46" i="1"/>
  <c r="I46" i="1"/>
  <c r="H46" i="1"/>
  <c r="O38" i="1"/>
  <c r="N38" i="1"/>
  <c r="M38" i="1"/>
  <c r="K38" i="1"/>
  <c r="J38" i="1"/>
  <c r="I38" i="1"/>
  <c r="H38" i="1"/>
  <c r="O21" i="1"/>
  <c r="N21" i="1"/>
  <c r="M21" i="1"/>
  <c r="K21" i="1"/>
  <c r="J21" i="1"/>
  <c r="I21" i="1"/>
  <c r="H21" i="1"/>
  <c r="O20" i="1"/>
  <c r="N20" i="1"/>
  <c r="M20" i="1"/>
  <c r="K20" i="1"/>
  <c r="J20" i="1"/>
  <c r="I20" i="1"/>
  <c r="H20" i="1"/>
  <c r="J86" i="1" l="1"/>
  <c r="D10" i="2" s="1"/>
  <c r="J61" i="1"/>
  <c r="P233" i="1"/>
  <c r="Q233" i="1" s="1"/>
  <c r="K164" i="1"/>
  <c r="N164" i="1"/>
  <c r="K77" i="1"/>
  <c r="N77" i="1"/>
  <c r="P245" i="1"/>
  <c r="Q245" i="1" s="1"/>
  <c r="N245" i="1"/>
  <c r="O245" i="1" s="1"/>
  <c r="K64" i="1"/>
  <c r="N64" i="1"/>
  <c r="K231" i="1"/>
  <c r="N231" i="1"/>
  <c r="N89" i="1"/>
  <c r="K89" i="1"/>
  <c r="K209" i="1"/>
  <c r="N209" i="1"/>
  <c r="N194" i="1"/>
  <c r="K194" i="1"/>
  <c r="N267" i="1"/>
  <c r="N257" i="1"/>
  <c r="P263" i="1" s="1"/>
  <c r="N266" i="1"/>
  <c r="K267" i="1"/>
  <c r="K266" i="1"/>
  <c r="K257" i="1"/>
  <c r="J263" i="1" s="1"/>
  <c r="N247" i="1"/>
  <c r="K247" i="1"/>
  <c r="J254" i="1" s="1"/>
  <c r="N131" i="1"/>
  <c r="K133" i="1"/>
  <c r="K131" i="1"/>
  <c r="N132" i="1"/>
  <c r="N133" i="1"/>
  <c r="K132" i="1"/>
  <c r="N118" i="1"/>
  <c r="K119" i="1"/>
  <c r="K118" i="1"/>
  <c r="N119" i="1"/>
  <c r="K120" i="1"/>
  <c r="N120" i="1"/>
  <c r="N67" i="1"/>
  <c r="K67" i="1"/>
  <c r="K68" i="1"/>
  <c r="N68" i="1"/>
  <c r="N96" i="1"/>
  <c r="K99" i="1"/>
  <c r="N99" i="1"/>
  <c r="K96" i="1"/>
  <c r="N95" i="1"/>
  <c r="K95" i="1"/>
  <c r="D20" i="2"/>
  <c r="F20" i="2" s="1"/>
  <c r="P61" i="1"/>
  <c r="J17" i="1"/>
  <c r="D6" i="2" s="1"/>
  <c r="P272" i="1" l="1"/>
  <c r="J115" i="1"/>
  <c r="D11" i="2" s="1"/>
  <c r="J70" i="1"/>
  <c r="D9" i="2" s="1"/>
  <c r="P143" i="1"/>
  <c r="J234" i="1"/>
  <c r="P234" i="1"/>
  <c r="P254" i="1"/>
  <c r="F6" i="2"/>
  <c r="P71" i="1"/>
  <c r="O71" i="1"/>
  <c r="N71" i="1"/>
  <c r="M71" i="1"/>
  <c r="K71" i="1"/>
  <c r="J535" i="1" s="1"/>
  <c r="J71" i="1"/>
  <c r="I71" i="1"/>
  <c r="H71" i="1"/>
  <c r="R537" i="1" l="1"/>
  <c r="P86" i="1"/>
  <c r="D15" i="2"/>
  <c r="P115" i="1"/>
  <c r="D25" i="2"/>
  <c r="D14" i="2"/>
  <c r="P70" i="1"/>
  <c r="J272" i="1"/>
  <c r="D16" i="2" s="1"/>
  <c r="D23" i="2"/>
  <c r="D24" i="2"/>
  <c r="J143" i="1"/>
  <c r="D12" i="2" s="1"/>
  <c r="D8" i="2" l="1"/>
  <c r="F8" i="2" l="1"/>
  <c r="F25" i="2" l="1"/>
  <c r="F10" i="2"/>
  <c r="F23" i="2"/>
  <c r="F11" i="2"/>
  <c r="F24" i="2" l="1"/>
  <c r="F14" i="2" l="1"/>
  <c r="F9" i="2" l="1"/>
  <c r="F16" i="2"/>
  <c r="F15" i="2"/>
  <c r="D13" i="2" l="1"/>
  <c r="D27" i="2" s="1"/>
  <c r="E30" i="2" s="1"/>
  <c r="E31" i="2" l="1"/>
  <c r="F12" i="2"/>
  <c r="F13" i="2" l="1"/>
  <c r="F27" i="2" s="1"/>
  <c r="L37" i="2" l="1"/>
  <c r="L92" i="1" l="1"/>
  <c r="O92" i="1" s="1"/>
  <c r="P92" i="1" s="1"/>
  <c r="Q92" i="1" s="1"/>
  <c r="L64" i="1"/>
  <c r="O64" i="1" s="1"/>
  <c r="O281" i="3" l="1"/>
  <c r="P281" i="3" s="1"/>
  <c r="Q281" i="3" s="1"/>
  <c r="O291" i="3"/>
  <c r="P291" i="3" s="1"/>
  <c r="Q291" i="3" s="1"/>
  <c r="O283" i="3"/>
  <c r="P283" i="3" s="1"/>
  <c r="Q283" i="3" s="1"/>
  <c r="O276" i="3"/>
  <c r="P276" i="3" s="1"/>
  <c r="Q276" i="3" s="1"/>
  <c r="L273" i="3"/>
  <c r="O273" i="3" s="1"/>
  <c r="P273" i="3" s="1"/>
  <c r="Q273" i="3" s="1"/>
  <c r="O287" i="3"/>
  <c r="P287" i="3" s="1"/>
  <c r="Q287" i="3" s="1"/>
  <c r="O288" i="3"/>
  <c r="P288" i="3" s="1"/>
  <c r="Q288" i="3" s="1"/>
  <c r="O278" i="3"/>
  <c r="P278" i="3" s="1"/>
  <c r="Q278" i="3" s="1"/>
  <c r="L272" i="3"/>
  <c r="O272" i="3" s="1"/>
  <c r="O286" i="3"/>
  <c r="P286" i="3" s="1"/>
  <c r="Q286" i="3" s="1"/>
  <c r="O282" i="3"/>
  <c r="P282" i="3" s="1"/>
  <c r="Q282" i="3" s="1"/>
  <c r="L277" i="3"/>
  <c r="O277" i="3" s="1"/>
  <c r="P277" i="3" s="1"/>
  <c r="Q277" i="3" s="1"/>
  <c r="P64" i="1"/>
  <c r="Q64" i="1" s="1"/>
  <c r="O28" i="3"/>
  <c r="P28" i="3" s="1"/>
  <c r="Q28" i="3" s="1"/>
  <c r="O255" i="3"/>
  <c r="P255" i="3" s="1"/>
  <c r="Q255" i="3" s="1"/>
  <c r="O238" i="3"/>
  <c r="P238" i="3" s="1"/>
  <c r="Q238" i="3" s="1"/>
  <c r="O234" i="3"/>
  <c r="P234" i="3" s="1"/>
  <c r="Q234" i="3" s="1"/>
  <c r="O229" i="3"/>
  <c r="P229" i="3" s="1"/>
  <c r="Q229" i="3" s="1"/>
  <c r="O210" i="3"/>
  <c r="P210" i="3" s="1"/>
  <c r="Q210" i="3" s="1"/>
  <c r="O205" i="3"/>
  <c r="P205" i="3" s="1"/>
  <c r="Q205" i="3" s="1"/>
  <c r="O194" i="3"/>
  <c r="P194" i="3" s="1"/>
  <c r="Q194" i="3" s="1"/>
  <c r="O185" i="3"/>
  <c r="P185" i="3" s="1"/>
  <c r="Q185" i="3" s="1"/>
  <c r="O167" i="3"/>
  <c r="P167" i="3" s="1"/>
  <c r="Q167" i="3" s="1"/>
  <c r="O165" i="3"/>
  <c r="P165" i="3" s="1"/>
  <c r="Q165" i="3" s="1"/>
  <c r="O156" i="3"/>
  <c r="P156" i="3" s="1"/>
  <c r="Q156" i="3" s="1"/>
  <c r="O143" i="3"/>
  <c r="P143" i="3" s="1"/>
  <c r="Q143" i="3" s="1"/>
  <c r="O130" i="3"/>
  <c r="P130" i="3" s="1"/>
  <c r="Q130" i="3" s="1"/>
  <c r="O115" i="3"/>
  <c r="P115" i="3" s="1"/>
  <c r="Q115" i="3" s="1"/>
  <c r="O112" i="3"/>
  <c r="P112" i="3" s="1"/>
  <c r="Q112" i="3" s="1"/>
  <c r="O110" i="3"/>
  <c r="P110" i="3" s="1"/>
  <c r="Q110" i="3" s="1"/>
  <c r="O106" i="3"/>
  <c r="P106" i="3" s="1"/>
  <c r="Q106" i="3" s="1"/>
  <c r="O88" i="3"/>
  <c r="P88" i="3" s="1"/>
  <c r="Q88" i="3" s="1"/>
  <c r="O70" i="3"/>
  <c r="P70" i="3" s="1"/>
  <c r="Q70" i="3" s="1"/>
  <c r="O243" i="3"/>
  <c r="P243" i="3" s="1"/>
  <c r="Q243" i="3" s="1"/>
  <c r="O213" i="3"/>
  <c r="P213" i="3" s="1"/>
  <c r="Q213" i="3" s="1"/>
  <c r="O161" i="3"/>
  <c r="P161" i="3" s="1"/>
  <c r="Q161" i="3" s="1"/>
  <c r="O154" i="3"/>
  <c r="P154" i="3" s="1"/>
  <c r="Q154" i="3" s="1"/>
  <c r="O150" i="3"/>
  <c r="P150" i="3" s="1"/>
  <c r="Q150" i="3" s="1"/>
  <c r="O123" i="3"/>
  <c r="P123" i="3" s="1"/>
  <c r="Q123" i="3" s="1"/>
  <c r="O120" i="3"/>
  <c r="P120" i="3" s="1"/>
  <c r="Q120" i="3" s="1"/>
  <c r="O104" i="3"/>
  <c r="P104" i="3" s="1"/>
  <c r="Q104" i="3" s="1"/>
  <c r="O95" i="3"/>
  <c r="P95" i="3" s="1"/>
  <c r="Q95" i="3" s="1"/>
  <c r="O76" i="3"/>
  <c r="P76" i="3" s="1"/>
  <c r="Q76" i="3" s="1"/>
  <c r="O68" i="3"/>
  <c r="P68" i="3" s="1"/>
  <c r="Q68" i="3" s="1"/>
  <c r="O217" i="3"/>
  <c r="P217" i="3" s="1"/>
  <c r="Q217" i="3" s="1"/>
  <c r="O132" i="3"/>
  <c r="P132" i="3" s="1"/>
  <c r="Q132" i="3" s="1"/>
  <c r="O263" i="3"/>
  <c r="P263" i="3" s="1"/>
  <c r="Q263" i="3" s="1"/>
  <c r="O239" i="3"/>
  <c r="P239" i="3" s="1"/>
  <c r="Q239" i="3" s="1"/>
  <c r="O226" i="3"/>
  <c r="P226" i="3" s="1"/>
  <c r="Q226" i="3" s="1"/>
  <c r="O222" i="3"/>
  <c r="P222" i="3" s="1"/>
  <c r="Q222" i="3" s="1"/>
  <c r="O201" i="3"/>
  <c r="P201" i="3" s="1"/>
  <c r="Q201" i="3" s="1"/>
  <c r="O188" i="3"/>
  <c r="P188" i="3" s="1"/>
  <c r="Q188" i="3" s="1"/>
  <c r="O183" i="3"/>
  <c r="P183" i="3" s="1"/>
  <c r="Q183" i="3" s="1"/>
  <c r="O179" i="3"/>
  <c r="P179" i="3" s="1"/>
  <c r="Q179" i="3" s="1"/>
  <c r="O174" i="3"/>
  <c r="P174" i="3" s="1"/>
  <c r="Q174" i="3" s="1"/>
  <c r="O159" i="3"/>
  <c r="P159" i="3" s="1"/>
  <c r="Q159" i="3" s="1"/>
  <c r="O146" i="3"/>
  <c r="P146" i="3" s="1"/>
  <c r="Q146" i="3" s="1"/>
  <c r="O135" i="3"/>
  <c r="P135" i="3" s="1"/>
  <c r="Q135" i="3" s="1"/>
  <c r="O113" i="3"/>
  <c r="P113" i="3" s="1"/>
  <c r="Q113" i="3" s="1"/>
  <c r="O100" i="3"/>
  <c r="P100" i="3" s="1"/>
  <c r="Q100" i="3" s="1"/>
  <c r="O82" i="3"/>
  <c r="P82" i="3" s="1"/>
  <c r="Q82" i="3" s="1"/>
  <c r="O64" i="3"/>
  <c r="P64" i="3" s="1"/>
  <c r="Q64" i="3" s="1"/>
  <c r="O62" i="3"/>
  <c r="P62" i="3" s="1"/>
  <c r="Q62" i="3" s="1"/>
  <c r="O58" i="3"/>
  <c r="P58" i="3" s="1"/>
  <c r="Q58" i="3" s="1"/>
  <c r="O56" i="3"/>
  <c r="P56" i="3" s="1"/>
  <c r="Q56" i="3" s="1"/>
  <c r="O52" i="3"/>
  <c r="P52" i="3" s="1"/>
  <c r="Q52" i="3" s="1"/>
  <c r="O50" i="3"/>
  <c r="P50" i="3" s="1"/>
  <c r="Q50" i="3" s="1"/>
  <c r="O260" i="3"/>
  <c r="P260" i="3" s="1"/>
  <c r="Q260" i="3" s="1"/>
  <c r="O99" i="3"/>
  <c r="P99" i="3" s="1"/>
  <c r="Q99" i="3" s="1"/>
  <c r="O248" i="3"/>
  <c r="P248" i="3" s="1"/>
  <c r="Q248" i="3" s="1"/>
  <c r="O218" i="3"/>
  <c r="P218" i="3" s="1"/>
  <c r="Q218" i="3" s="1"/>
  <c r="O211" i="3"/>
  <c r="P211" i="3" s="1"/>
  <c r="Q211" i="3" s="1"/>
  <c r="O206" i="3"/>
  <c r="P206" i="3" s="1"/>
  <c r="Q206" i="3" s="1"/>
  <c r="O199" i="3"/>
  <c r="P199" i="3" s="1"/>
  <c r="Q199" i="3" s="1"/>
  <c r="O186" i="3"/>
  <c r="P186" i="3" s="1"/>
  <c r="Q186" i="3" s="1"/>
  <c r="O172" i="3"/>
  <c r="P172" i="3" s="1"/>
  <c r="Q172" i="3" s="1"/>
  <c r="O128" i="3"/>
  <c r="P128" i="3" s="1"/>
  <c r="Q128" i="3" s="1"/>
  <c r="O116" i="3"/>
  <c r="P116" i="3" s="1"/>
  <c r="Q116" i="3" s="1"/>
  <c r="O71" i="3"/>
  <c r="P71" i="3" s="1"/>
  <c r="Q71" i="3" s="1"/>
  <c r="O266" i="3"/>
  <c r="P266" i="3" s="1"/>
  <c r="Q266" i="3" s="1"/>
  <c r="O256" i="3"/>
  <c r="P256" i="3" s="1"/>
  <c r="Q256" i="3" s="1"/>
  <c r="O235" i="3"/>
  <c r="P235" i="3" s="1"/>
  <c r="Q235" i="3" s="1"/>
  <c r="O230" i="3"/>
  <c r="P230" i="3" s="1"/>
  <c r="Q230" i="3" s="1"/>
  <c r="O216" i="3"/>
  <c r="P216" i="3" s="1"/>
  <c r="Q216" i="3" s="1"/>
  <c r="O168" i="3"/>
  <c r="P168" i="3" s="1"/>
  <c r="Q168" i="3" s="1"/>
  <c r="O166" i="3"/>
  <c r="P166" i="3" s="1"/>
  <c r="Q166" i="3" s="1"/>
  <c r="O162" i="3"/>
  <c r="P162" i="3" s="1"/>
  <c r="Q162" i="3" s="1"/>
  <c r="O144" i="3"/>
  <c r="P144" i="3" s="1"/>
  <c r="Q144" i="3" s="1"/>
  <c r="O131" i="3"/>
  <c r="P131" i="3" s="1"/>
  <c r="Q131" i="3" s="1"/>
  <c r="O126" i="3"/>
  <c r="P126" i="3" s="1"/>
  <c r="Q126" i="3" s="1"/>
  <c r="O111" i="3"/>
  <c r="P111" i="3" s="1"/>
  <c r="Q111" i="3" s="1"/>
  <c r="O107" i="3"/>
  <c r="P107" i="3" s="1"/>
  <c r="Q107" i="3" s="1"/>
  <c r="O96" i="3"/>
  <c r="P96" i="3" s="1"/>
  <c r="Q96" i="3" s="1"/>
  <c r="O93" i="3"/>
  <c r="P93" i="3" s="1"/>
  <c r="Q93" i="3" s="1"/>
  <c r="O77" i="3"/>
  <c r="P77" i="3" s="1"/>
  <c r="Q77" i="3" s="1"/>
  <c r="O69" i="3"/>
  <c r="P69" i="3" s="1"/>
  <c r="Q69" i="3" s="1"/>
  <c r="O251" i="3"/>
  <c r="P251" i="3" s="1"/>
  <c r="Q251" i="3" s="1"/>
  <c r="O244" i="3"/>
  <c r="P244" i="3" s="1"/>
  <c r="Q244" i="3" s="1"/>
  <c r="O227" i="3"/>
  <c r="P227" i="3" s="1"/>
  <c r="Q227" i="3" s="1"/>
  <c r="O207" i="3"/>
  <c r="P207" i="3" s="1"/>
  <c r="Q207" i="3" s="1"/>
  <c r="O202" i="3"/>
  <c r="P202" i="3" s="1"/>
  <c r="Q202" i="3" s="1"/>
  <c r="O184" i="3"/>
  <c r="P184" i="3" s="1"/>
  <c r="Q184" i="3" s="1"/>
  <c r="O160" i="3"/>
  <c r="P160" i="3" s="1"/>
  <c r="Q160" i="3" s="1"/>
  <c r="O155" i="3"/>
  <c r="P155" i="3" s="1"/>
  <c r="Q155" i="3" s="1"/>
  <c r="O151" i="3"/>
  <c r="P151" i="3" s="1"/>
  <c r="Q151" i="3" s="1"/>
  <c r="O138" i="3"/>
  <c r="P138" i="3" s="1"/>
  <c r="Q138" i="3" s="1"/>
  <c r="O129" i="3"/>
  <c r="P129" i="3" s="1"/>
  <c r="Q129" i="3" s="1"/>
  <c r="O121" i="3"/>
  <c r="P121" i="3" s="1"/>
  <c r="Q121" i="3" s="1"/>
  <c r="O114" i="3"/>
  <c r="P114" i="3" s="1"/>
  <c r="Q114" i="3" s="1"/>
  <c r="O105" i="3"/>
  <c r="P105" i="3" s="1"/>
  <c r="Q105" i="3" s="1"/>
  <c r="O85" i="3"/>
  <c r="P85" i="3" s="1"/>
  <c r="Q85" i="3" s="1"/>
  <c r="O247" i="3"/>
  <c r="P247" i="3" s="1"/>
  <c r="Q247" i="3" s="1"/>
  <c r="O187" i="3"/>
  <c r="P187" i="3" s="1"/>
  <c r="Q187" i="3" s="1"/>
  <c r="O127" i="3"/>
  <c r="P127" i="3" s="1"/>
  <c r="Q127" i="3" s="1"/>
  <c r="O80" i="3"/>
  <c r="P80" i="3" s="1"/>
  <c r="Q80" i="3" s="1"/>
  <c r="O240" i="3"/>
  <c r="P240" i="3" s="1"/>
  <c r="Q240" i="3" s="1"/>
  <c r="O223" i="3"/>
  <c r="P223" i="3" s="1"/>
  <c r="Q223" i="3" s="1"/>
  <c r="O219" i="3"/>
  <c r="P219" i="3" s="1"/>
  <c r="Q219" i="3" s="1"/>
  <c r="O212" i="3"/>
  <c r="P212" i="3" s="1"/>
  <c r="Q212" i="3" s="1"/>
  <c r="O200" i="3"/>
  <c r="P200" i="3" s="1"/>
  <c r="Q200" i="3" s="1"/>
  <c r="O191" i="3"/>
  <c r="P191" i="3" s="1"/>
  <c r="Q191" i="3" s="1"/>
  <c r="O182" i="3"/>
  <c r="P182" i="3" s="1"/>
  <c r="Q182" i="3" s="1"/>
  <c r="O176" i="3"/>
  <c r="P176" i="3" s="1"/>
  <c r="Q176" i="3" s="1"/>
  <c r="O173" i="3"/>
  <c r="P173" i="3" s="1"/>
  <c r="Q173" i="3" s="1"/>
  <c r="O149" i="3"/>
  <c r="P149" i="3" s="1"/>
  <c r="Q149" i="3" s="1"/>
  <c r="O145" i="3"/>
  <c r="P145" i="3" s="1"/>
  <c r="Q145" i="3" s="1"/>
  <c r="O119" i="3"/>
  <c r="P119" i="3" s="1"/>
  <c r="Q119" i="3" s="1"/>
  <c r="O101" i="3"/>
  <c r="P101" i="3" s="1"/>
  <c r="Q101" i="3" s="1"/>
  <c r="O94" i="3"/>
  <c r="P94" i="3" s="1"/>
  <c r="Q94" i="3" s="1"/>
  <c r="O74" i="3"/>
  <c r="P74" i="3" s="1"/>
  <c r="Q74" i="3" s="1"/>
  <c r="O65" i="3"/>
  <c r="P65" i="3" s="1"/>
  <c r="Q65" i="3" s="1"/>
  <c r="O63" i="3"/>
  <c r="P63" i="3" s="1"/>
  <c r="Q63" i="3" s="1"/>
  <c r="O59" i="3"/>
  <c r="P59" i="3" s="1"/>
  <c r="Q59" i="3" s="1"/>
  <c r="O57" i="3"/>
  <c r="P57" i="3" s="1"/>
  <c r="Q57" i="3" s="1"/>
  <c r="O53" i="3"/>
  <c r="P53" i="3" s="1"/>
  <c r="Q53" i="3" s="1"/>
  <c r="O51" i="3"/>
  <c r="P51" i="3" s="1"/>
  <c r="Q51" i="3" s="1"/>
  <c r="O49" i="3"/>
  <c r="O169" i="3"/>
  <c r="P169" i="3" s="1"/>
  <c r="Q169" i="3" s="1"/>
  <c r="O26" i="3"/>
  <c r="P26" i="3" s="1"/>
  <c r="Q26" i="3" s="1"/>
  <c r="L41" i="3"/>
  <c r="O41" i="3" s="1"/>
  <c r="P41" i="3" s="1"/>
  <c r="Q41" i="3" s="1"/>
  <c r="O25" i="3"/>
  <c r="P25" i="3" s="1"/>
  <c r="Q25" i="3" s="1"/>
  <c r="L36" i="3"/>
  <c r="O36" i="3" s="1"/>
  <c r="P36" i="3" s="1"/>
  <c r="Q36" i="3" s="1"/>
  <c r="L38" i="3"/>
  <c r="O38" i="3" s="1"/>
  <c r="P38" i="3" s="1"/>
  <c r="Q38" i="3" s="1"/>
  <c r="L31" i="3"/>
  <c r="O31" i="3" s="1"/>
  <c r="P31" i="3" s="1"/>
  <c r="Q31" i="3" s="1"/>
  <c r="L37" i="3"/>
  <c r="O37" i="3" s="1"/>
  <c r="P37" i="3" s="1"/>
  <c r="Q37" i="3" s="1"/>
  <c r="L33" i="3"/>
  <c r="O33" i="3" s="1"/>
  <c r="P33" i="3" s="1"/>
  <c r="Q33" i="3" s="1"/>
  <c r="O27" i="3"/>
  <c r="P27" i="3" s="1"/>
  <c r="Q27" i="3" s="1"/>
  <c r="O32" i="3"/>
  <c r="P32" i="3" s="1"/>
  <c r="Q32" i="3" s="1"/>
  <c r="L22" i="3"/>
  <c r="O22" i="3" s="1"/>
  <c r="L14" i="3"/>
  <c r="L11" i="3"/>
  <c r="L13" i="3"/>
  <c r="L12" i="3"/>
  <c r="L121" i="1"/>
  <c r="O121" i="1" s="1"/>
  <c r="P121" i="1" s="1"/>
  <c r="Q121" i="1" s="1"/>
  <c r="L123" i="1"/>
  <c r="O123" i="1" s="1"/>
  <c r="P123" i="1" s="1"/>
  <c r="Q123" i="1" s="1"/>
  <c r="L122" i="1"/>
  <c r="O122" i="1" s="1"/>
  <c r="P122" i="1" s="1"/>
  <c r="Q122" i="1" s="1"/>
  <c r="L125" i="1"/>
  <c r="O125" i="1" s="1"/>
  <c r="P125" i="1" s="1"/>
  <c r="Q125" i="1" s="1"/>
  <c r="L124" i="1"/>
  <c r="O124" i="1" s="1"/>
  <c r="P124" i="1" s="1"/>
  <c r="Q124" i="1" s="1"/>
  <c r="O392" i="1"/>
  <c r="P392" i="1" s="1"/>
  <c r="Q392" i="1" s="1"/>
  <c r="O393" i="1"/>
  <c r="P393" i="1" s="1"/>
  <c r="Q393" i="1" s="1"/>
  <c r="O394" i="1"/>
  <c r="P394" i="1" s="1"/>
  <c r="Q394" i="1" s="1"/>
  <c r="O490" i="1"/>
  <c r="P490" i="1" s="1"/>
  <c r="Q490" i="1" s="1"/>
  <c r="O485" i="1"/>
  <c r="P485" i="1" s="1"/>
  <c r="Q485" i="1" s="1"/>
  <c r="O460" i="1"/>
  <c r="P460" i="1" s="1"/>
  <c r="Q460" i="1" s="1"/>
  <c r="O454" i="1"/>
  <c r="P454" i="1" s="1"/>
  <c r="Q454" i="1" s="1"/>
  <c r="O451" i="1"/>
  <c r="P451" i="1" s="1"/>
  <c r="Q451" i="1" s="1"/>
  <c r="O446" i="1"/>
  <c r="O488" i="1"/>
  <c r="P488" i="1" s="1"/>
  <c r="Q488" i="1" s="1"/>
  <c r="O482" i="1"/>
  <c r="P482" i="1" s="1"/>
  <c r="Q482" i="1" s="1"/>
  <c r="O477" i="1"/>
  <c r="P477" i="1" s="1"/>
  <c r="Q477" i="1" s="1"/>
  <c r="O468" i="1"/>
  <c r="P468" i="1" s="1"/>
  <c r="Q468" i="1" s="1"/>
  <c r="O463" i="1"/>
  <c r="P463" i="1" s="1"/>
  <c r="Q463" i="1" s="1"/>
  <c r="O449" i="1"/>
  <c r="P449" i="1" s="1"/>
  <c r="Q449" i="1" s="1"/>
  <c r="O462" i="1"/>
  <c r="P462" i="1" s="1"/>
  <c r="Q462" i="1" s="1"/>
  <c r="O493" i="1"/>
  <c r="P493" i="1" s="1"/>
  <c r="Q493" i="1" s="1"/>
  <c r="O480" i="1"/>
  <c r="P480" i="1" s="1"/>
  <c r="Q480" i="1" s="1"/>
  <c r="O471" i="1"/>
  <c r="P471" i="1" s="1"/>
  <c r="Q471" i="1" s="1"/>
  <c r="O461" i="1"/>
  <c r="P461" i="1" s="1"/>
  <c r="Q461" i="1" s="1"/>
  <c r="O452" i="1"/>
  <c r="P452" i="1" s="1"/>
  <c r="Q452" i="1" s="1"/>
  <c r="O469" i="1"/>
  <c r="P469" i="1" s="1"/>
  <c r="Q469" i="1" s="1"/>
  <c r="O455" i="1"/>
  <c r="P455" i="1" s="1"/>
  <c r="Q455" i="1" s="1"/>
  <c r="O447" i="1"/>
  <c r="P447" i="1" s="1"/>
  <c r="Q447" i="1" s="1"/>
  <c r="O484" i="1"/>
  <c r="P484" i="1" s="1"/>
  <c r="Q484" i="1" s="1"/>
  <c r="O459" i="1"/>
  <c r="P459" i="1" s="1"/>
  <c r="Q459" i="1" s="1"/>
  <c r="O448" i="1"/>
  <c r="P448" i="1" s="1"/>
  <c r="Q448" i="1" s="1"/>
  <c r="O489" i="1"/>
  <c r="P489" i="1" s="1"/>
  <c r="Q489" i="1" s="1"/>
  <c r="O483" i="1"/>
  <c r="P483" i="1" s="1"/>
  <c r="Q483" i="1" s="1"/>
  <c r="O478" i="1"/>
  <c r="P478" i="1" s="1"/>
  <c r="Q478" i="1" s="1"/>
  <c r="O464" i="1"/>
  <c r="P464" i="1" s="1"/>
  <c r="Q464" i="1" s="1"/>
  <c r="O453" i="1"/>
  <c r="P453" i="1" s="1"/>
  <c r="Q453" i="1" s="1"/>
  <c r="O456" i="1"/>
  <c r="P456" i="1" s="1"/>
  <c r="Q456" i="1" s="1"/>
  <c r="O481" i="1"/>
  <c r="P481" i="1" s="1"/>
  <c r="Q481" i="1" s="1"/>
  <c r="O475" i="1"/>
  <c r="P475" i="1" s="1"/>
  <c r="Q475" i="1" s="1"/>
  <c r="O472" i="1"/>
  <c r="P472" i="1" s="1"/>
  <c r="Q472" i="1" s="1"/>
  <c r="O450" i="1"/>
  <c r="P450" i="1" s="1"/>
  <c r="Q450" i="1" s="1"/>
  <c r="O479" i="1"/>
  <c r="P479" i="1" s="1"/>
  <c r="Q479" i="1" s="1"/>
  <c r="O476" i="1"/>
  <c r="P476" i="1" s="1"/>
  <c r="Q476" i="1" s="1"/>
  <c r="O470" i="1"/>
  <c r="P470" i="1" s="1"/>
  <c r="Q470" i="1" s="1"/>
  <c r="O465" i="1"/>
  <c r="P465" i="1" s="1"/>
  <c r="Q465" i="1" s="1"/>
  <c r="L270" i="1"/>
  <c r="O270" i="1" s="1"/>
  <c r="P270" i="1" s="1"/>
  <c r="Q270" i="1" s="1"/>
  <c r="O292" i="1"/>
  <c r="P292" i="1" s="1"/>
  <c r="Q292" i="1" s="1"/>
  <c r="O282" i="1"/>
  <c r="P282" i="1" s="1"/>
  <c r="Q282" i="1" s="1"/>
  <c r="O279" i="1"/>
  <c r="P279" i="1" s="1"/>
  <c r="Q279" i="1" s="1"/>
  <c r="O289" i="1"/>
  <c r="P289" i="1" s="1"/>
  <c r="Q289" i="1" s="1"/>
  <c r="O286" i="1"/>
  <c r="P286" i="1" s="1"/>
  <c r="Q286" i="1" s="1"/>
  <c r="O284" i="1"/>
  <c r="P284" i="1" s="1"/>
  <c r="Q284" i="1" s="1"/>
  <c r="O290" i="1"/>
  <c r="P290" i="1" s="1"/>
  <c r="Q290" i="1" s="1"/>
  <c r="O281" i="1"/>
  <c r="P281" i="1" s="1"/>
  <c r="Q281" i="1" s="1"/>
  <c r="O278" i="1"/>
  <c r="P278" i="1" s="1"/>
  <c r="Q278" i="1" s="1"/>
  <c r="O288" i="1"/>
  <c r="P288" i="1" s="1"/>
  <c r="Q288" i="1" s="1"/>
  <c r="O285" i="1"/>
  <c r="P285" i="1" s="1"/>
  <c r="Q285" i="1" s="1"/>
  <c r="O277" i="1"/>
  <c r="O294" i="1"/>
  <c r="P294" i="1" s="1"/>
  <c r="Q294" i="1" s="1"/>
  <c r="O295" i="1"/>
  <c r="P295" i="1" s="1"/>
  <c r="Q295" i="1" s="1"/>
  <c r="O164" i="1"/>
  <c r="P164" i="1" s="1"/>
  <c r="Q164" i="1" s="1"/>
  <c r="O228" i="1"/>
  <c r="P228" i="1" s="1"/>
  <c r="Q228" i="1" s="1"/>
  <c r="O225" i="1"/>
  <c r="P225" i="1" s="1"/>
  <c r="Q225" i="1" s="1"/>
  <c r="O151" i="1"/>
  <c r="P151" i="1" s="1"/>
  <c r="Q151" i="1" s="1"/>
  <c r="O149" i="1"/>
  <c r="P149" i="1" s="1"/>
  <c r="Q149" i="1" s="1"/>
  <c r="O147" i="1"/>
  <c r="O150" i="1"/>
  <c r="P150" i="1" s="1"/>
  <c r="Q150" i="1" s="1"/>
  <c r="O152" i="1"/>
  <c r="P152" i="1" s="1"/>
  <c r="Q152" i="1" s="1"/>
  <c r="O157" i="1"/>
  <c r="P157" i="1" s="1"/>
  <c r="Q157" i="1" s="1"/>
  <c r="O148" i="1"/>
  <c r="P148" i="1" s="1"/>
  <c r="Q148" i="1" s="1"/>
  <c r="O155" i="1"/>
  <c r="P155" i="1" s="1"/>
  <c r="Q155" i="1" s="1"/>
  <c r="O156" i="1"/>
  <c r="P156" i="1" s="1"/>
  <c r="Q156" i="1" s="1"/>
  <c r="L140" i="1"/>
  <c r="O140" i="1" s="1"/>
  <c r="P140" i="1" s="1"/>
  <c r="Q140" i="1" s="1"/>
  <c r="L137" i="1"/>
  <c r="O137" i="1" s="1"/>
  <c r="P137" i="1" s="1"/>
  <c r="Q137" i="1" s="1"/>
  <c r="L74" i="1"/>
  <c r="O74" i="1" s="1"/>
  <c r="L77" i="1"/>
  <c r="O77" i="1" s="1"/>
  <c r="P77" i="1" s="1"/>
  <c r="Q77" i="1" s="1"/>
  <c r="L231" i="1"/>
  <c r="O231" i="1" s="1"/>
  <c r="P231" i="1" s="1"/>
  <c r="Q231" i="1" s="1"/>
  <c r="L232" i="1"/>
  <c r="O232" i="1" s="1"/>
  <c r="P232" i="1" s="1"/>
  <c r="Q232" i="1" s="1"/>
  <c r="L213" i="1"/>
  <c r="O213" i="1" s="1"/>
  <c r="P213" i="1" s="1"/>
  <c r="Q213" i="1" s="1"/>
  <c r="O222" i="1"/>
  <c r="P222" i="1" s="1"/>
  <c r="Q222" i="1" s="1"/>
  <c r="O219" i="1"/>
  <c r="P219" i="1" s="1"/>
  <c r="Q219" i="1" s="1"/>
  <c r="O216" i="1"/>
  <c r="P216" i="1" s="1"/>
  <c r="Q216" i="1" s="1"/>
  <c r="L109" i="1"/>
  <c r="O109" i="1" s="1"/>
  <c r="P109" i="1" s="1"/>
  <c r="Q109" i="1" s="1"/>
  <c r="L113" i="1"/>
  <c r="O113" i="1" s="1"/>
  <c r="P113" i="1" s="1"/>
  <c r="Q113" i="1" s="1"/>
  <c r="L112" i="1"/>
  <c r="O112" i="1" s="1"/>
  <c r="P112" i="1" s="1"/>
  <c r="Q112" i="1" s="1"/>
  <c r="L111" i="1"/>
  <c r="O111" i="1" s="1"/>
  <c r="P111" i="1" s="1"/>
  <c r="Q111" i="1" s="1"/>
  <c r="L89" i="1"/>
  <c r="O89" i="1" s="1"/>
  <c r="L110" i="1"/>
  <c r="O110" i="1" s="1"/>
  <c r="P110" i="1" s="1"/>
  <c r="Q110" i="1" s="1"/>
  <c r="O396" i="1"/>
  <c r="P396" i="1" s="1"/>
  <c r="Q396" i="1" s="1"/>
  <c r="O383" i="1"/>
  <c r="P383" i="1" s="1"/>
  <c r="Q383" i="1" s="1"/>
  <c r="O376" i="1"/>
  <c r="P376" i="1" s="1"/>
  <c r="Q376" i="1" s="1"/>
  <c r="O364" i="1"/>
  <c r="P364" i="1" s="1"/>
  <c r="Q364" i="1" s="1"/>
  <c r="O351" i="1"/>
  <c r="P351" i="1" s="1"/>
  <c r="Q351" i="1" s="1"/>
  <c r="O337" i="1"/>
  <c r="P337" i="1" s="1"/>
  <c r="Q337" i="1" s="1"/>
  <c r="O328" i="1"/>
  <c r="P328" i="1" s="1"/>
  <c r="Q328" i="1" s="1"/>
  <c r="O321" i="1"/>
  <c r="P321" i="1" s="1"/>
  <c r="Q321" i="1" s="1"/>
  <c r="O305" i="1"/>
  <c r="P305" i="1" s="1"/>
  <c r="Q305" i="1" s="1"/>
  <c r="O372" i="1"/>
  <c r="P372" i="1" s="1"/>
  <c r="Q372" i="1" s="1"/>
  <c r="O334" i="1"/>
  <c r="P334" i="1" s="1"/>
  <c r="Q334" i="1" s="1"/>
  <c r="O386" i="1"/>
  <c r="P386" i="1" s="1"/>
  <c r="Q386" i="1" s="1"/>
  <c r="O367" i="1"/>
  <c r="P367" i="1" s="1"/>
  <c r="Q367" i="1" s="1"/>
  <c r="O358" i="1"/>
  <c r="P358" i="1" s="1"/>
  <c r="Q358" i="1" s="1"/>
  <c r="O353" i="1"/>
  <c r="P353" i="1" s="1"/>
  <c r="Q353" i="1" s="1"/>
  <c r="O344" i="1"/>
  <c r="P344" i="1" s="1"/>
  <c r="Q344" i="1" s="1"/>
  <c r="O339" i="1"/>
  <c r="P339" i="1" s="1"/>
  <c r="Q339" i="1" s="1"/>
  <c r="O320" i="1"/>
  <c r="P320" i="1" s="1"/>
  <c r="Q320" i="1" s="1"/>
  <c r="O382" i="1"/>
  <c r="P382" i="1" s="1"/>
  <c r="Q382" i="1" s="1"/>
  <c r="O371" i="1"/>
  <c r="P371" i="1" s="1"/>
  <c r="Q371" i="1" s="1"/>
  <c r="O333" i="1"/>
  <c r="P333" i="1" s="1"/>
  <c r="Q333" i="1" s="1"/>
  <c r="O303" i="1"/>
  <c r="P303" i="1" s="1"/>
  <c r="Q303" i="1" s="1"/>
  <c r="O389" i="1"/>
  <c r="P389" i="1" s="1"/>
  <c r="Q389" i="1" s="1"/>
  <c r="O378" i="1"/>
  <c r="P378" i="1" s="1"/>
  <c r="Q378" i="1" s="1"/>
  <c r="O366" i="1"/>
  <c r="P366" i="1" s="1"/>
  <c r="Q366" i="1" s="1"/>
  <c r="O361" i="1"/>
  <c r="P361" i="1" s="1"/>
  <c r="Q361" i="1" s="1"/>
  <c r="O357" i="1"/>
  <c r="P357" i="1" s="1"/>
  <c r="Q357" i="1" s="1"/>
  <c r="O343" i="1"/>
  <c r="P343" i="1" s="1"/>
  <c r="Q343" i="1" s="1"/>
  <c r="O380" i="1"/>
  <c r="P380" i="1" s="1"/>
  <c r="Q380" i="1" s="1"/>
  <c r="O346" i="1"/>
  <c r="P346" i="1" s="1"/>
  <c r="Q346" i="1" s="1"/>
  <c r="O385" i="1"/>
  <c r="P385" i="1" s="1"/>
  <c r="Q385" i="1" s="1"/>
  <c r="O381" i="1"/>
  <c r="P381" i="1" s="1"/>
  <c r="Q381" i="1" s="1"/>
  <c r="O352" i="1"/>
  <c r="P352" i="1" s="1"/>
  <c r="Q352" i="1" s="1"/>
  <c r="O332" i="1"/>
  <c r="P332" i="1" s="1"/>
  <c r="Q332" i="1" s="1"/>
  <c r="O302" i="1"/>
  <c r="O341" i="1"/>
  <c r="P341" i="1" s="1"/>
  <c r="Q341" i="1" s="1"/>
  <c r="O331" i="1"/>
  <c r="P331" i="1" s="1"/>
  <c r="Q331" i="1" s="1"/>
  <c r="O325" i="1"/>
  <c r="P325" i="1" s="1"/>
  <c r="Q325" i="1" s="1"/>
  <c r="O312" i="1"/>
  <c r="P312" i="1" s="1"/>
  <c r="Q312" i="1" s="1"/>
  <c r="O377" i="1"/>
  <c r="P377" i="1" s="1"/>
  <c r="Q377" i="1" s="1"/>
  <c r="O365" i="1"/>
  <c r="P365" i="1" s="1"/>
  <c r="Q365" i="1" s="1"/>
  <c r="O322" i="1"/>
  <c r="P322" i="1" s="1"/>
  <c r="Q322" i="1" s="1"/>
  <c r="O387" i="1"/>
  <c r="P387" i="1" s="1"/>
  <c r="Q387" i="1" s="1"/>
  <c r="O355" i="1"/>
  <c r="P355" i="1" s="1"/>
  <c r="Q355" i="1" s="1"/>
  <c r="O349" i="1"/>
  <c r="P349" i="1" s="1"/>
  <c r="Q349" i="1" s="1"/>
  <c r="O319" i="1"/>
  <c r="P319" i="1" s="1"/>
  <c r="Q319" i="1" s="1"/>
  <c r="O335" i="1"/>
  <c r="P335" i="1" s="1"/>
  <c r="Q335" i="1" s="1"/>
  <c r="O347" i="1"/>
  <c r="P347" i="1" s="1"/>
  <c r="Q347" i="1" s="1"/>
  <c r="O326" i="1"/>
  <c r="P326" i="1" s="1"/>
  <c r="Q326" i="1" s="1"/>
  <c r="O374" i="1"/>
  <c r="P374" i="1" s="1"/>
  <c r="Q374" i="1" s="1"/>
  <c r="O348" i="1"/>
  <c r="P348" i="1" s="1"/>
  <c r="Q348" i="1" s="1"/>
  <c r="O314" i="1"/>
  <c r="P314" i="1" s="1"/>
  <c r="Q314" i="1" s="1"/>
  <c r="O315" i="1"/>
  <c r="P315" i="1" s="1"/>
  <c r="Q315" i="1" s="1"/>
  <c r="O323" i="1"/>
  <c r="P323" i="1" s="1"/>
  <c r="Q323" i="1" s="1"/>
  <c r="O350" i="1"/>
  <c r="P350" i="1" s="1"/>
  <c r="Q350" i="1" s="1"/>
  <c r="O379" i="1"/>
  <c r="P379" i="1" s="1"/>
  <c r="Q379" i="1" s="1"/>
  <c r="O360" i="1"/>
  <c r="P360" i="1" s="1"/>
  <c r="Q360" i="1" s="1"/>
  <c r="O390" i="1"/>
  <c r="P390" i="1" s="1"/>
  <c r="Q390" i="1" s="1"/>
  <c r="O336" i="1"/>
  <c r="P336" i="1" s="1"/>
  <c r="Q336" i="1" s="1"/>
  <c r="O309" i="1"/>
  <c r="P309" i="1" s="1"/>
  <c r="Q309" i="1" s="1"/>
  <c r="O369" i="1"/>
  <c r="P369" i="1" s="1"/>
  <c r="Q369" i="1" s="1"/>
  <c r="O313" i="1"/>
  <c r="P313" i="1" s="1"/>
  <c r="Q313" i="1" s="1"/>
  <c r="O373" i="1"/>
  <c r="P373" i="1" s="1"/>
  <c r="Q373" i="1" s="1"/>
  <c r="O397" i="1"/>
  <c r="P397" i="1" s="1"/>
  <c r="Q397" i="1" s="1"/>
  <c r="O310" i="1"/>
  <c r="P310" i="1" s="1"/>
  <c r="Q310" i="1" s="1"/>
  <c r="L434" i="1"/>
  <c r="O434" i="1" s="1"/>
  <c r="P434" i="1" s="1"/>
  <c r="Q434" i="1" s="1"/>
  <c r="L421" i="1"/>
  <c r="O421" i="1" s="1"/>
  <c r="P421" i="1" s="1"/>
  <c r="Q421" i="1" s="1"/>
  <c r="L424" i="1"/>
  <c r="O424" i="1" s="1"/>
  <c r="P424" i="1" s="1"/>
  <c r="Q424" i="1" s="1"/>
  <c r="L429" i="1"/>
  <c r="O429" i="1" s="1"/>
  <c r="P429" i="1" s="1"/>
  <c r="Q429" i="1" s="1"/>
  <c r="L431" i="1"/>
  <c r="O431" i="1" s="1"/>
  <c r="P431" i="1" s="1"/>
  <c r="Q431" i="1" s="1"/>
  <c r="L436" i="1"/>
  <c r="O436" i="1" s="1"/>
  <c r="P436" i="1" s="1"/>
  <c r="Q436" i="1" s="1"/>
  <c r="L427" i="1"/>
  <c r="O427" i="1" s="1"/>
  <c r="P427" i="1" s="1"/>
  <c r="Q427" i="1" s="1"/>
  <c r="L441" i="1"/>
  <c r="O441" i="1" s="1"/>
  <c r="P441" i="1" s="1"/>
  <c r="Q441" i="1" s="1"/>
  <c r="L433" i="1"/>
  <c r="O433" i="1" s="1"/>
  <c r="P433" i="1" s="1"/>
  <c r="Q433" i="1" s="1"/>
  <c r="L439" i="1"/>
  <c r="O439" i="1" s="1"/>
  <c r="P439" i="1" s="1"/>
  <c r="Q439" i="1" s="1"/>
  <c r="L423" i="1"/>
  <c r="O423" i="1" s="1"/>
  <c r="P423" i="1" s="1"/>
  <c r="Q423" i="1" s="1"/>
  <c r="L426" i="1"/>
  <c r="O426" i="1" s="1"/>
  <c r="P426" i="1" s="1"/>
  <c r="Q426" i="1" s="1"/>
  <c r="L435" i="1"/>
  <c r="O435" i="1" s="1"/>
  <c r="P435" i="1" s="1"/>
  <c r="Q435" i="1" s="1"/>
  <c r="L440" i="1"/>
  <c r="O440" i="1" s="1"/>
  <c r="P440" i="1" s="1"/>
  <c r="Q440" i="1" s="1"/>
  <c r="L425" i="1"/>
  <c r="O425" i="1" s="1"/>
  <c r="P425" i="1" s="1"/>
  <c r="Q425" i="1" s="1"/>
  <c r="L428" i="1"/>
  <c r="O428" i="1" s="1"/>
  <c r="P428" i="1" s="1"/>
  <c r="Q428" i="1" s="1"/>
  <c r="L430" i="1"/>
  <c r="O430" i="1" s="1"/>
  <c r="P430" i="1" s="1"/>
  <c r="Q430" i="1" s="1"/>
  <c r="L422" i="1"/>
  <c r="O422" i="1" s="1"/>
  <c r="P422" i="1" s="1"/>
  <c r="Q422" i="1" s="1"/>
  <c r="L432" i="1"/>
  <c r="O432" i="1" s="1"/>
  <c r="P432" i="1" s="1"/>
  <c r="Q432" i="1" s="1"/>
  <c r="L406" i="1"/>
  <c r="O406" i="1" s="1"/>
  <c r="P406" i="1" s="1"/>
  <c r="Q406" i="1" s="1"/>
  <c r="L420" i="1"/>
  <c r="O420" i="1" s="1"/>
  <c r="P420" i="1" s="1"/>
  <c r="Q420" i="1" s="1"/>
  <c r="L414" i="1"/>
  <c r="O414" i="1" s="1"/>
  <c r="P414" i="1" s="1"/>
  <c r="Q414" i="1" s="1"/>
  <c r="L411" i="1"/>
  <c r="O411" i="1" s="1"/>
  <c r="P411" i="1" s="1"/>
  <c r="Q411" i="1" s="1"/>
  <c r="L410" i="1"/>
  <c r="O410" i="1" s="1"/>
  <c r="P410" i="1" s="1"/>
  <c r="Q410" i="1" s="1"/>
  <c r="L413" i="1"/>
  <c r="O413" i="1" s="1"/>
  <c r="P413" i="1" s="1"/>
  <c r="Q413" i="1" s="1"/>
  <c r="O417" i="1"/>
  <c r="P417" i="1" s="1"/>
  <c r="Q417" i="1" s="1"/>
  <c r="L412" i="1"/>
  <c r="O412" i="1" s="1"/>
  <c r="P412" i="1" s="1"/>
  <c r="Q412" i="1" s="1"/>
  <c r="O168" i="1"/>
  <c r="P168" i="1" s="1"/>
  <c r="Q168" i="1" s="1"/>
  <c r="L170" i="1"/>
  <c r="O170" i="1" s="1"/>
  <c r="P170" i="1" s="1"/>
  <c r="Q170" i="1" s="1"/>
  <c r="L169" i="1"/>
  <c r="O169" i="1" s="1"/>
  <c r="P169" i="1" s="1"/>
  <c r="Q169" i="1" s="1"/>
  <c r="L167" i="1"/>
  <c r="O167" i="1" s="1"/>
  <c r="P167" i="1" s="1"/>
  <c r="Q167" i="1" s="1"/>
  <c r="O205" i="1"/>
  <c r="P205" i="1" s="1"/>
  <c r="Q205" i="1" s="1"/>
  <c r="O203" i="1"/>
  <c r="P203" i="1" s="1"/>
  <c r="Q203" i="1" s="1"/>
  <c r="O202" i="1"/>
  <c r="P202" i="1" s="1"/>
  <c r="Q202" i="1" s="1"/>
  <c r="O204" i="1"/>
  <c r="P204" i="1" s="1"/>
  <c r="Q204" i="1" s="1"/>
  <c r="L201" i="1"/>
  <c r="O201" i="1" s="1"/>
  <c r="P201" i="1" s="1"/>
  <c r="Q201" i="1" s="1"/>
  <c r="L209" i="1"/>
  <c r="O209" i="1" s="1"/>
  <c r="P209" i="1" s="1"/>
  <c r="Q209" i="1" s="1"/>
  <c r="O195" i="1"/>
  <c r="P195" i="1" s="1"/>
  <c r="Q195" i="1" s="1"/>
  <c r="O197" i="1"/>
  <c r="P197" i="1" s="1"/>
  <c r="Q197" i="1" s="1"/>
  <c r="O196" i="1"/>
  <c r="P196" i="1" s="1"/>
  <c r="Q196" i="1" s="1"/>
  <c r="O198" i="1"/>
  <c r="P198" i="1" s="1"/>
  <c r="Q198" i="1" s="1"/>
  <c r="L194" i="1"/>
  <c r="O194" i="1" s="1"/>
  <c r="P194" i="1" s="1"/>
  <c r="Q194" i="1" s="1"/>
  <c r="O187" i="1"/>
  <c r="P187" i="1" s="1"/>
  <c r="Q187" i="1" s="1"/>
  <c r="O184" i="1"/>
  <c r="P184" i="1" s="1"/>
  <c r="Q184" i="1" s="1"/>
  <c r="O186" i="1"/>
  <c r="P186" i="1" s="1"/>
  <c r="Q186" i="1" s="1"/>
  <c r="O189" i="1"/>
  <c r="P189" i="1" s="1"/>
  <c r="Q189" i="1" s="1"/>
  <c r="O188" i="1"/>
  <c r="P188" i="1" s="1"/>
  <c r="Q188" i="1" s="1"/>
  <c r="O185" i="1"/>
  <c r="P185" i="1" s="1"/>
  <c r="Q185" i="1" s="1"/>
  <c r="O190" i="1"/>
  <c r="P190" i="1" s="1"/>
  <c r="Q190" i="1" s="1"/>
  <c r="L183" i="1"/>
  <c r="O183" i="1" s="1"/>
  <c r="P183" i="1" s="1"/>
  <c r="Q183" i="1" s="1"/>
  <c r="O178" i="1"/>
  <c r="P178" i="1" s="1"/>
  <c r="Q178" i="1" s="1"/>
  <c r="O180" i="1"/>
  <c r="P180" i="1" s="1"/>
  <c r="Q180" i="1" s="1"/>
  <c r="O174" i="1"/>
  <c r="P174" i="1" s="1"/>
  <c r="Q174" i="1" s="1"/>
  <c r="O177" i="1"/>
  <c r="P177" i="1" s="1"/>
  <c r="Q177" i="1" s="1"/>
  <c r="O179" i="1"/>
  <c r="P179" i="1" s="1"/>
  <c r="Q179" i="1" s="1"/>
  <c r="O176" i="1"/>
  <c r="P176" i="1" s="1"/>
  <c r="Q176" i="1" s="1"/>
  <c r="O175" i="1"/>
  <c r="P175" i="1" s="1"/>
  <c r="Q175" i="1" s="1"/>
  <c r="L173" i="1"/>
  <c r="O173" i="1" s="1"/>
  <c r="P173" i="1" s="1"/>
  <c r="Q173" i="1" s="1"/>
  <c r="L267" i="1"/>
  <c r="O267" i="1" s="1"/>
  <c r="P267" i="1" s="1"/>
  <c r="Q267" i="1" s="1"/>
  <c r="L266" i="1"/>
  <c r="O266" i="1" s="1"/>
  <c r="L259" i="1"/>
  <c r="O259" i="1" s="1"/>
  <c r="P259" i="1" s="1"/>
  <c r="Q259" i="1" s="1"/>
  <c r="L261" i="1"/>
  <c r="O261" i="1" s="1"/>
  <c r="P261" i="1" s="1"/>
  <c r="Q261" i="1" s="1"/>
  <c r="L258" i="1"/>
  <c r="O258" i="1" s="1"/>
  <c r="P258" i="1" s="1"/>
  <c r="Q258" i="1" s="1"/>
  <c r="L260" i="1"/>
  <c r="O260" i="1" s="1"/>
  <c r="P260" i="1" s="1"/>
  <c r="Q260" i="1" s="1"/>
  <c r="L257" i="1"/>
  <c r="O257" i="1" s="1"/>
  <c r="L248" i="1"/>
  <c r="O248" i="1" s="1"/>
  <c r="P248" i="1" s="1"/>
  <c r="Q248" i="1" s="1"/>
  <c r="O250" i="1"/>
  <c r="P250" i="1" s="1"/>
  <c r="Q250" i="1" s="1"/>
  <c r="L252" i="1"/>
  <c r="O252" i="1" s="1"/>
  <c r="P252" i="1" s="1"/>
  <c r="Q252" i="1" s="1"/>
  <c r="L249" i="1"/>
  <c r="O249" i="1" s="1"/>
  <c r="P249" i="1" s="1"/>
  <c r="Q249" i="1" s="1"/>
  <c r="L251" i="1"/>
  <c r="O251" i="1" s="1"/>
  <c r="P251" i="1" s="1"/>
  <c r="Q251" i="1" s="1"/>
  <c r="L247" i="1"/>
  <c r="O247" i="1" s="1"/>
  <c r="P247" i="1" s="1"/>
  <c r="Q247" i="1" s="1"/>
  <c r="L243" i="1"/>
  <c r="O243" i="1" s="1"/>
  <c r="P243" i="1" s="1"/>
  <c r="Q243" i="1" s="1"/>
  <c r="L244" i="1"/>
  <c r="O244" i="1" s="1"/>
  <c r="P244" i="1" s="1"/>
  <c r="Q244" i="1" s="1"/>
  <c r="L242" i="1"/>
  <c r="O242" i="1" s="1"/>
  <c r="P242" i="1" s="1"/>
  <c r="Q242" i="1" s="1"/>
  <c r="L238" i="1"/>
  <c r="O238" i="1" s="1"/>
  <c r="P238" i="1" s="1"/>
  <c r="Q238" i="1" s="1"/>
  <c r="L239" i="1"/>
  <c r="O239" i="1" s="1"/>
  <c r="P239" i="1" s="1"/>
  <c r="Q239" i="1" s="1"/>
  <c r="L240" i="1"/>
  <c r="O240" i="1" s="1"/>
  <c r="P240" i="1" s="1"/>
  <c r="Q240" i="1" s="1"/>
  <c r="L241" i="1"/>
  <c r="O241" i="1" s="1"/>
  <c r="P241" i="1" s="1"/>
  <c r="Q241" i="1" s="1"/>
  <c r="L237" i="1"/>
  <c r="O237" i="1" s="1"/>
  <c r="L134" i="1"/>
  <c r="O134" i="1" s="1"/>
  <c r="P134" i="1" s="1"/>
  <c r="Q134" i="1" s="1"/>
  <c r="L131" i="1"/>
  <c r="O131" i="1" s="1"/>
  <c r="P131" i="1" s="1"/>
  <c r="Q131" i="1" s="1"/>
  <c r="L132" i="1"/>
  <c r="O132" i="1" s="1"/>
  <c r="P132" i="1" s="1"/>
  <c r="Q132" i="1" s="1"/>
  <c r="L133" i="1"/>
  <c r="O133" i="1" s="1"/>
  <c r="P133" i="1" s="1"/>
  <c r="Q133" i="1" s="1"/>
  <c r="L128" i="1"/>
  <c r="O128" i="1" s="1"/>
  <c r="P128" i="1" s="1"/>
  <c r="Q128" i="1" s="1"/>
  <c r="L118" i="1"/>
  <c r="O118" i="1" s="1"/>
  <c r="L119" i="1"/>
  <c r="O119" i="1" s="1"/>
  <c r="P119" i="1" s="1"/>
  <c r="Q119" i="1" s="1"/>
  <c r="L120" i="1"/>
  <c r="O120" i="1" s="1"/>
  <c r="P120" i="1" s="1"/>
  <c r="Q120" i="1" s="1"/>
  <c r="L84" i="1"/>
  <c r="O84" i="1" s="1"/>
  <c r="P84" i="1" s="1"/>
  <c r="Q84" i="1" s="1"/>
  <c r="L78" i="1"/>
  <c r="O78" i="1" s="1"/>
  <c r="P78" i="1" s="1"/>
  <c r="Q78" i="1" s="1"/>
  <c r="L67" i="1"/>
  <c r="O67" i="1" s="1"/>
  <c r="L68" i="1"/>
  <c r="O68" i="1" s="1"/>
  <c r="P68" i="1" s="1"/>
  <c r="Q68" i="1" s="1"/>
  <c r="L101" i="1"/>
  <c r="O101" i="1" s="1"/>
  <c r="P101" i="1" s="1"/>
  <c r="Q101" i="1" s="1"/>
  <c r="L104" i="1"/>
  <c r="O104" i="1" s="1"/>
  <c r="P104" i="1" s="1"/>
  <c r="Q104" i="1" s="1"/>
  <c r="L100" i="1"/>
  <c r="O100" i="1" s="1"/>
  <c r="P100" i="1" s="1"/>
  <c r="Q100" i="1" s="1"/>
  <c r="L106" i="1"/>
  <c r="O106" i="1" s="1"/>
  <c r="P106" i="1" s="1"/>
  <c r="Q106" i="1" s="1"/>
  <c r="L103" i="1"/>
  <c r="O103" i="1" s="1"/>
  <c r="P103" i="1" s="1"/>
  <c r="Q103" i="1" s="1"/>
  <c r="L105" i="1"/>
  <c r="O105" i="1" s="1"/>
  <c r="P105" i="1" s="1"/>
  <c r="Q105" i="1" s="1"/>
  <c r="O81" i="1"/>
  <c r="L99" i="1"/>
  <c r="O99" i="1" s="1"/>
  <c r="P99" i="1" s="1"/>
  <c r="Q99" i="1" s="1"/>
  <c r="L96" i="1"/>
  <c r="O96" i="1" s="1"/>
  <c r="P96" i="1" s="1"/>
  <c r="Q96" i="1" s="1"/>
  <c r="L95" i="1"/>
  <c r="O95" i="1" s="1"/>
  <c r="L58" i="1"/>
  <c r="L59" i="1"/>
  <c r="O59" i="1" s="1"/>
  <c r="P59" i="1" s="1"/>
  <c r="Q59" i="1" s="1"/>
  <c r="L50" i="1"/>
  <c r="O50" i="1" s="1"/>
  <c r="P50" i="1" s="1"/>
  <c r="Q50" i="1" s="1"/>
  <c r="L52" i="1"/>
  <c r="O52" i="1" s="1"/>
  <c r="P52" i="1" s="1"/>
  <c r="Q52" i="1" s="1"/>
  <c r="L54" i="1"/>
  <c r="O54" i="1" s="1"/>
  <c r="P54" i="1" s="1"/>
  <c r="Q54" i="1" s="1"/>
  <c r="L51" i="1"/>
  <c r="O51" i="1" s="1"/>
  <c r="P51" i="1" s="1"/>
  <c r="Q51" i="1" s="1"/>
  <c r="L49" i="1"/>
  <c r="L53" i="1"/>
  <c r="O53" i="1" s="1"/>
  <c r="P53" i="1" s="1"/>
  <c r="Q53" i="1" s="1"/>
  <c r="L45" i="1"/>
  <c r="O45" i="1" s="1"/>
  <c r="P45" i="1" s="1"/>
  <c r="Q45" i="1" s="1"/>
  <c r="L44" i="1"/>
  <c r="O44" i="1" s="1"/>
  <c r="P44" i="1" s="1"/>
  <c r="Q44" i="1" s="1"/>
  <c r="L27" i="1"/>
  <c r="O27" i="1" s="1"/>
  <c r="P27" i="1" s="1"/>
  <c r="Q27" i="1" s="1"/>
  <c r="L24" i="1"/>
  <c r="O24" i="1" s="1"/>
  <c r="P24" i="1" s="1"/>
  <c r="Q24" i="1" s="1"/>
  <c r="L25" i="1"/>
  <c r="O25" i="1" s="1"/>
  <c r="P25" i="1" s="1"/>
  <c r="Q25" i="1" s="1"/>
  <c r="L26" i="1"/>
  <c r="O26" i="1" s="1"/>
  <c r="P26" i="1" s="1"/>
  <c r="Q26" i="1" s="1"/>
  <c r="L23" i="1"/>
  <c r="O23" i="1" s="1"/>
  <c r="L35" i="1"/>
  <c r="O35" i="1" s="1"/>
  <c r="P35" i="1" s="1"/>
  <c r="Q35" i="1" s="1"/>
  <c r="L36" i="1"/>
  <c r="O36" i="1" s="1"/>
  <c r="P36" i="1" s="1"/>
  <c r="Q36" i="1" s="1"/>
  <c r="L34" i="1"/>
  <c r="O34" i="1" s="1"/>
  <c r="P34" i="1" s="1"/>
  <c r="Q34" i="1" s="1"/>
  <c r="L32" i="1"/>
  <c r="O32" i="1" s="1"/>
  <c r="P32" i="1" s="1"/>
  <c r="Q32" i="1" s="1"/>
  <c r="L31" i="1"/>
  <c r="O31" i="1" s="1"/>
  <c r="P31" i="1" s="1"/>
  <c r="Q31" i="1" s="1"/>
  <c r="L33" i="1"/>
  <c r="O33" i="1" s="1"/>
  <c r="P33" i="1" s="1"/>
  <c r="Q33" i="1" s="1"/>
  <c r="L41" i="1"/>
  <c r="O41" i="1" s="1"/>
  <c r="P41" i="1" s="1"/>
  <c r="Q41" i="1" s="1"/>
  <c r="L43" i="1"/>
  <c r="O43" i="1" s="1"/>
  <c r="P43" i="1" s="1"/>
  <c r="Q43" i="1" s="1"/>
  <c r="L40" i="1"/>
  <c r="L42" i="1"/>
  <c r="O42" i="1" s="1"/>
  <c r="P42" i="1" s="1"/>
  <c r="Q42" i="1" s="1"/>
  <c r="L403" i="1"/>
  <c r="O403" i="1" s="1"/>
  <c r="L408" i="1"/>
  <c r="O408" i="1" s="1"/>
  <c r="P408" i="1" s="1"/>
  <c r="Q408" i="1" s="1"/>
  <c r="L409" i="1"/>
  <c r="O409" i="1" s="1"/>
  <c r="P409" i="1" s="1"/>
  <c r="Q409" i="1" s="1"/>
  <c r="P23" i="1" l="1"/>
  <c r="Q23" i="1" s="1"/>
  <c r="P302" i="1"/>
  <c r="Q302" i="1" s="1"/>
  <c r="M399" i="1"/>
  <c r="E19" i="2" s="1"/>
  <c r="M86" i="1"/>
  <c r="E10" i="2" s="1"/>
  <c r="G10" i="2" s="1"/>
  <c r="H10" i="2" s="1"/>
  <c r="M293" i="3"/>
  <c r="M70" i="1"/>
  <c r="E9" i="2" s="1"/>
  <c r="P74" i="1"/>
  <c r="Q74" i="1" s="1"/>
  <c r="P22" i="3"/>
  <c r="Q22" i="3" s="1"/>
  <c r="M43" i="3"/>
  <c r="P89" i="1"/>
  <c r="Q89" i="1" s="1"/>
  <c r="M115" i="1"/>
  <c r="E11" i="2" s="1"/>
  <c r="M268" i="3"/>
  <c r="P49" i="3"/>
  <c r="Q49" i="3" s="1"/>
  <c r="R268" i="3" s="1"/>
  <c r="P272" i="3"/>
  <c r="Q272" i="3" s="1"/>
  <c r="R293" i="3" s="1"/>
  <c r="O521" i="1"/>
  <c r="P521" i="1" s="1"/>
  <c r="Q521" i="1" s="1"/>
  <c r="O517" i="1"/>
  <c r="O527" i="1"/>
  <c r="P527" i="1" s="1"/>
  <c r="Q527" i="1" s="1"/>
  <c r="O512" i="1"/>
  <c r="P512" i="1" s="1"/>
  <c r="Q512" i="1" s="1"/>
  <c r="O531" i="1"/>
  <c r="P531" i="1" s="1"/>
  <c r="Q531" i="1" s="1"/>
  <c r="O524" i="1"/>
  <c r="P524" i="1" s="1"/>
  <c r="Q524" i="1" s="1"/>
  <c r="O518" i="1"/>
  <c r="P518" i="1" s="1"/>
  <c r="Q518" i="1" s="1"/>
  <c r="O528" i="1"/>
  <c r="P528" i="1" s="1"/>
  <c r="Q528" i="1" s="1"/>
  <c r="M272" i="1"/>
  <c r="E16" i="2" s="1"/>
  <c r="P446" i="1"/>
  <c r="Q446" i="1" s="1"/>
  <c r="R495" i="1" s="1"/>
  <c r="M495" i="1"/>
  <c r="E21" i="2" s="1"/>
  <c r="R399" i="1"/>
  <c r="P147" i="1"/>
  <c r="Q147" i="1" s="1"/>
  <c r="R234" i="1" s="1"/>
  <c r="M234" i="1"/>
  <c r="E13" i="2" s="1"/>
  <c r="G13" i="2" s="1"/>
  <c r="M297" i="1"/>
  <c r="E18" i="2" s="1"/>
  <c r="P277" i="1"/>
  <c r="Q277" i="1" s="1"/>
  <c r="R297" i="1" s="1"/>
  <c r="M143" i="1"/>
  <c r="E12" i="2" s="1"/>
  <c r="M443" i="1"/>
  <c r="E20" i="2" s="1"/>
  <c r="M254" i="1"/>
  <c r="E14" i="2" s="1"/>
  <c r="G14" i="2" s="1"/>
  <c r="H14" i="2" s="1"/>
  <c r="O58" i="1"/>
  <c r="P58" i="1" s="1"/>
  <c r="Q58" i="1" s="1"/>
  <c r="O49" i="1"/>
  <c r="P49" i="1" s="1"/>
  <c r="Q49" i="1" s="1"/>
  <c r="O508" i="1"/>
  <c r="O509" i="1"/>
  <c r="P509" i="1" s="1"/>
  <c r="Q509" i="1" s="1"/>
  <c r="O40" i="1"/>
  <c r="P40" i="1" s="1"/>
  <c r="Q40" i="1" s="1"/>
  <c r="O499" i="1"/>
  <c r="O502" i="1"/>
  <c r="P502" i="1" s="1"/>
  <c r="Q502" i="1" s="1"/>
  <c r="O503" i="1"/>
  <c r="P503" i="1" s="1"/>
  <c r="Q503" i="1" s="1"/>
  <c r="P266" i="1"/>
  <c r="Q266" i="1" s="1"/>
  <c r="R272" i="1" s="1"/>
  <c r="P257" i="1"/>
  <c r="Q257" i="1" s="1"/>
  <c r="R263" i="1" s="1"/>
  <c r="M263" i="1"/>
  <c r="E15" i="2" s="1"/>
  <c r="P237" i="1"/>
  <c r="Q237" i="1" s="1"/>
  <c r="R254" i="1" s="1"/>
  <c r="P118" i="1"/>
  <c r="Q118" i="1" s="1"/>
  <c r="R143" i="1" s="1"/>
  <c r="P67" i="1"/>
  <c r="Q67" i="1" s="1"/>
  <c r="R70" i="1" s="1"/>
  <c r="P81" i="1"/>
  <c r="Q81" i="1" s="1"/>
  <c r="P95" i="1"/>
  <c r="Q95" i="1" s="1"/>
  <c r="P403" i="1"/>
  <c r="Q403" i="1" s="1"/>
  <c r="R443" i="1" s="1"/>
  <c r="G19" i="2" l="1"/>
  <c r="H19" i="2" s="1"/>
  <c r="M61" i="1"/>
  <c r="R43" i="3"/>
  <c r="S9" i="3"/>
  <c r="R61" i="1"/>
  <c r="R86" i="1"/>
  <c r="R115" i="1"/>
  <c r="G18" i="2"/>
  <c r="H18" i="2" s="1"/>
  <c r="P508" i="1"/>
  <c r="Q508" i="1" s="1"/>
  <c r="R514" i="1" s="1"/>
  <c r="M514" i="1"/>
  <c r="E24" i="2" s="1"/>
  <c r="M533" i="1"/>
  <c r="E25" i="2" s="1"/>
  <c r="P517" i="1"/>
  <c r="Q517" i="1" s="1"/>
  <c r="R533" i="1" s="1"/>
  <c r="P499" i="1"/>
  <c r="Q499" i="1" s="1"/>
  <c r="R505" i="1" s="1"/>
  <c r="M505" i="1"/>
  <c r="E23" i="2" s="1"/>
  <c r="E8" i="2"/>
  <c r="G21" i="2"/>
  <c r="H21" i="2" s="1"/>
  <c r="G16" i="2"/>
  <c r="H16" i="2" s="1"/>
  <c r="G15" i="2"/>
  <c r="H15" i="2" s="1"/>
  <c r="I14" i="2"/>
  <c r="J14" i="2"/>
  <c r="G12" i="2"/>
  <c r="H12" i="2" s="1"/>
  <c r="G9" i="2"/>
  <c r="H9" i="2" s="1"/>
  <c r="J10" i="2"/>
  <c r="I10" i="2"/>
  <c r="G11" i="2"/>
  <c r="H11" i="2" s="1"/>
  <c r="G20" i="2"/>
  <c r="H20" i="2" s="1"/>
  <c r="H13" i="2"/>
  <c r="I13" i="2" s="1"/>
  <c r="I19" i="2" l="1"/>
  <c r="J19" i="2"/>
  <c r="L19" i="2"/>
  <c r="M19" i="2" s="1"/>
  <c r="M13" i="3"/>
  <c r="N13" i="3" s="1"/>
  <c r="O13" i="3" s="1"/>
  <c r="P13" i="3" s="1"/>
  <c r="Q13" i="3" s="1"/>
  <c r="M14" i="3"/>
  <c r="N14" i="3" s="1"/>
  <c r="O14" i="3" s="1"/>
  <c r="P14" i="3" s="1"/>
  <c r="Q14" i="3" s="1"/>
  <c r="M15" i="3"/>
  <c r="N15" i="3" s="1"/>
  <c r="O15" i="3" s="1"/>
  <c r="P15" i="3" s="1"/>
  <c r="Q15" i="3" s="1"/>
  <c r="M12" i="3"/>
  <c r="N12" i="3" s="1"/>
  <c r="O12" i="3" s="1"/>
  <c r="P12" i="3" s="1"/>
  <c r="Q12" i="3" s="1"/>
  <c r="M11" i="3"/>
  <c r="N11" i="3" s="1"/>
  <c r="S9" i="1"/>
  <c r="J18" i="2"/>
  <c r="I18" i="2"/>
  <c r="G24" i="2"/>
  <c r="H24" i="2" s="1"/>
  <c r="G25" i="2"/>
  <c r="H25" i="2" s="1"/>
  <c r="G23" i="2"/>
  <c r="H23" i="2" s="1"/>
  <c r="G8" i="2"/>
  <c r="H8" i="2" s="1"/>
  <c r="I8" i="2" s="1"/>
  <c r="J21" i="2"/>
  <c r="I21" i="2"/>
  <c r="I16" i="2"/>
  <c r="J16" i="2"/>
  <c r="J15" i="2"/>
  <c r="I15" i="2"/>
  <c r="L14" i="2"/>
  <c r="M14" i="2" s="1"/>
  <c r="J12" i="2"/>
  <c r="I12" i="2"/>
  <c r="I9" i="2"/>
  <c r="J9" i="2"/>
  <c r="L10" i="2"/>
  <c r="M10" i="2" s="1"/>
  <c r="I11" i="2"/>
  <c r="J11" i="2"/>
  <c r="J20" i="2"/>
  <c r="I20" i="2"/>
  <c r="J13" i="2"/>
  <c r="P17" i="3" l="1"/>
  <c r="R299" i="3"/>
  <c r="P295" i="3"/>
  <c r="O11" i="3"/>
  <c r="M15" i="1"/>
  <c r="N15" i="1" s="1"/>
  <c r="M11" i="1"/>
  <c r="N11" i="1" s="1"/>
  <c r="O11" i="1" s="1"/>
  <c r="M12" i="1"/>
  <c r="N12" i="1" s="1"/>
  <c r="O12" i="1" s="1"/>
  <c r="P12" i="1" s="1"/>
  <c r="Q12" i="1" s="1"/>
  <c r="M14" i="1"/>
  <c r="N14" i="1" s="1"/>
  <c r="O14" i="1" s="1"/>
  <c r="P14" i="1" s="1"/>
  <c r="Q14" i="1" s="1"/>
  <c r="M13" i="1"/>
  <c r="N13" i="1" s="1"/>
  <c r="O13" i="1" s="1"/>
  <c r="P13" i="1" s="1"/>
  <c r="Q13" i="1" s="1"/>
  <c r="L18" i="2"/>
  <c r="M18" i="2" s="1"/>
  <c r="I24" i="2"/>
  <c r="J24" i="2"/>
  <c r="J25" i="2"/>
  <c r="I25" i="2"/>
  <c r="J23" i="2"/>
  <c r="I23" i="2"/>
  <c r="J8" i="2"/>
  <c r="L8" i="2" s="1"/>
  <c r="M8" i="2" s="1"/>
  <c r="L21" i="2"/>
  <c r="M21" i="2" s="1"/>
  <c r="L16" i="2"/>
  <c r="M16" i="2" s="1"/>
  <c r="L15" i="2"/>
  <c r="M15" i="2" s="1"/>
  <c r="L12" i="2"/>
  <c r="M12" i="2" s="1"/>
  <c r="L9" i="2"/>
  <c r="M9" i="2" s="1"/>
  <c r="L11" i="2"/>
  <c r="M11" i="2" s="1"/>
  <c r="L20" i="2"/>
  <c r="M20" i="2" s="1"/>
  <c r="L13" i="2"/>
  <c r="M13" i="2" s="1"/>
  <c r="M295" i="3" l="1"/>
  <c r="M17" i="3"/>
  <c r="R298" i="3"/>
  <c r="P11" i="3"/>
  <c r="Q11" i="3" s="1"/>
  <c r="R539" i="1"/>
  <c r="P17" i="1"/>
  <c r="O15" i="1"/>
  <c r="M17" i="1" s="1"/>
  <c r="E6" i="2" s="1"/>
  <c r="E27" i="2" s="1"/>
  <c r="P11" i="1"/>
  <c r="Q11" i="1" s="1"/>
  <c r="P535" i="1"/>
  <c r="L30" i="2" s="1"/>
  <c r="L31" i="2" s="1"/>
  <c r="L23" i="2"/>
  <c r="M23" i="2" s="1"/>
  <c r="L24" i="2"/>
  <c r="M24" i="2" s="1"/>
  <c r="L25" i="2"/>
  <c r="M25" i="2" s="1"/>
  <c r="R17" i="3" l="1"/>
  <c r="R295" i="3"/>
  <c r="M535" i="1"/>
  <c r="R538" i="1"/>
  <c r="P15" i="1"/>
  <c r="Q15" i="1" s="1"/>
  <c r="R535" i="1" s="1"/>
  <c r="G6" i="2"/>
  <c r="E33" i="2"/>
  <c r="R17" i="1" l="1"/>
  <c r="E34" i="2"/>
  <c r="E35" i="2" s="1"/>
  <c r="H6" i="2"/>
  <c r="G27" i="2"/>
  <c r="J6" i="2" l="1"/>
  <c r="J27" i="2" s="1"/>
  <c r="I6" i="2"/>
  <c r="I27" i="2" s="1"/>
  <c r="H27" i="2"/>
  <c r="E36" i="2"/>
  <c r="E37" i="2"/>
  <c r="O1" i="3"/>
  <c r="O1" i="1"/>
  <c r="O3" i="1" l="1"/>
  <c r="O2" i="1"/>
  <c r="E38" i="2"/>
  <c r="O3" i="3"/>
  <c r="O2" i="3"/>
  <c r="E50" i="2" l="1"/>
  <c r="E39" i="2"/>
  <c r="E52" i="2" l="1"/>
  <c r="O4" i="3"/>
  <c r="O5" i="3" s="1"/>
  <c r="K6" i="2"/>
  <c r="O4" i="1"/>
  <c r="O5" i="1" s="1"/>
  <c r="K27" i="2" l="1"/>
  <c r="L6" i="2"/>
  <c r="L27" i="2" l="1"/>
  <c r="M27" i="2" l="1"/>
  <c r="O6" i="2" s="1"/>
  <c r="O19" i="2" l="1"/>
  <c r="O20" i="2"/>
  <c r="O10" i="2"/>
  <c r="O9" i="2"/>
  <c r="O15" i="2"/>
  <c r="O21" i="2"/>
  <c r="O16" i="2"/>
  <c r="O8" i="2"/>
  <c r="O24" i="2"/>
  <c r="O13" i="2"/>
  <c r="O14" i="2"/>
  <c r="O12" i="2"/>
  <c r="O18" i="2"/>
  <c r="O25" i="2"/>
  <c r="O23" i="2"/>
  <c r="O11" i="2"/>
  <c r="O27" i="2" l="1"/>
</calcChain>
</file>

<file path=xl/sharedStrings.xml><?xml version="1.0" encoding="utf-8"?>
<sst xmlns="http://schemas.openxmlformats.org/spreadsheetml/2006/main" count="2361" uniqueCount="668">
  <si>
    <t>SR.
NO.</t>
  </si>
  <si>
    <t>DESCRIPTION</t>
  </si>
  <si>
    <t>QUANTITY</t>
  </si>
  <si>
    <t>UNIT</t>
  </si>
  <si>
    <t>MATERIAL 
COST</t>
  </si>
  <si>
    <t>MANHOURS COST</t>
  </si>
  <si>
    <t>UNIT MANHOURS</t>
  </si>
  <si>
    <t>TOTAL MANHOURS</t>
  </si>
  <si>
    <t>TOTAL
COST</t>
  </si>
  <si>
    <t>UNIT MATERIAL
COST</t>
  </si>
  <si>
    <t>DWG. NO.</t>
  </si>
  <si>
    <t>DETAIL NO.</t>
  </si>
  <si>
    <t>SUBTOTAL MATERIAL</t>
  </si>
  <si>
    <t>SUBTOTAL LABOR</t>
  </si>
  <si>
    <t>COMPOSITE LABOR RATE</t>
  </si>
  <si>
    <t>BID SUMMARY</t>
  </si>
  <si>
    <t>MATERIAL COST</t>
  </si>
  <si>
    <t>LABOR COST</t>
  </si>
  <si>
    <t>MATERIAL TAX</t>
  </si>
  <si>
    <t>LABOR TAX</t>
  </si>
  <si>
    <t>TOTAL COST</t>
  </si>
  <si>
    <t>OVERHEADS</t>
  </si>
  <si>
    <t>TOTAL PRICE</t>
  </si>
  <si>
    <t>TOTALS</t>
  </si>
  <si>
    <t>BID RECAP</t>
  </si>
  <si>
    <t>TOTAL MATERIAL COST</t>
  </si>
  <si>
    <t>TOTAL LABOR COST</t>
  </si>
  <si>
    <t>MATERIAL SALES TAX</t>
  </si>
  <si>
    <t>OVERHEADS @</t>
  </si>
  <si>
    <t>ALLOWANCES</t>
  </si>
  <si>
    <t>SUB-CONTRACTS</t>
  </si>
  <si>
    <t>BOND PREMIUM</t>
  </si>
  <si>
    <t>JOB EXPENSE</t>
  </si>
  <si>
    <t>PROFIT @</t>
  </si>
  <si>
    <t>BASE BID PRICE</t>
  </si>
  <si>
    <t>MAN LOAD</t>
  </si>
  <si>
    <t>MOBILIZATION / DEMOBILIZATION</t>
  </si>
  <si>
    <t>SUPERVISOR RATE</t>
  </si>
  <si>
    <t>UNSKILLED LABOR RATE</t>
  </si>
  <si>
    <t>TOTAL MANHOURS WITH SUPERVISION</t>
  </si>
  <si>
    <t>NUMBER OF MAN-DAYS</t>
  </si>
  <si>
    <t>MAN-LOADING AND SUPERVISION ANALYSIS</t>
  </si>
  <si>
    <t>SUBTOTAL HOURS</t>
  </si>
  <si>
    <t>CSI NO.</t>
  </si>
  <si>
    <t>09 00 00</t>
  </si>
  <si>
    <t>OPENINGS</t>
  </si>
  <si>
    <t>08 00 00</t>
  </si>
  <si>
    <t>FINISHES</t>
  </si>
  <si>
    <t>JOURNEYMAN RATE</t>
  </si>
  <si>
    <t>03 00 00</t>
  </si>
  <si>
    <t>CONCRETE</t>
  </si>
  <si>
    <t>WOOD, PLASTICS, AND COMPOSITES</t>
  </si>
  <si>
    <t>THERMAL AND MOISTURE PROTECTION</t>
  </si>
  <si>
    <t>10 00 00</t>
  </si>
  <si>
    <t>SPECIALTIES</t>
  </si>
  <si>
    <t>11 00 00</t>
  </si>
  <si>
    <t>EQUIPMENT</t>
  </si>
  <si>
    <t>12 00 00</t>
  </si>
  <si>
    <t>FURNISHINGS</t>
  </si>
  <si>
    <t>31 00 00</t>
  </si>
  <si>
    <t>EARTHWORK</t>
  </si>
  <si>
    <t>CAST-IN-PLACE CONCRETE</t>
  </si>
  <si>
    <t xml:space="preserve">03 30 00 </t>
  </si>
  <si>
    <t xml:space="preserve">05 12 00 </t>
  </si>
  <si>
    <t>METAL RAILINGS</t>
  </si>
  <si>
    <t xml:space="preserve">05 52 00 </t>
  </si>
  <si>
    <t>DECORATIVE METAL</t>
  </si>
  <si>
    <t>WOOD FRAMING</t>
  </si>
  <si>
    <t xml:space="preserve">06 11 00 </t>
  </si>
  <si>
    <t>MILLWORK</t>
  </si>
  <si>
    <t xml:space="preserve">06 22 00 </t>
  </si>
  <si>
    <t>ARCHITECTURAL WOODWORK</t>
  </si>
  <si>
    <t xml:space="preserve">06 40 00 </t>
  </si>
  <si>
    <t xml:space="preserve">07 11 00 </t>
  </si>
  <si>
    <t>SHEET WATERPROOFING</t>
  </si>
  <si>
    <t xml:space="preserve">07 13 00 </t>
  </si>
  <si>
    <t>SIDING</t>
  </si>
  <si>
    <t xml:space="preserve">07 46 00 </t>
  </si>
  <si>
    <t xml:space="preserve">07 51 00 </t>
  </si>
  <si>
    <t>ROOF AND WALL SPECIALTIES AND ACCESSORIES</t>
  </si>
  <si>
    <t>WOOD DOORS</t>
  </si>
  <si>
    <t xml:space="preserve">08 14 00 </t>
  </si>
  <si>
    <t>WOOD WINDOWS</t>
  </si>
  <si>
    <t>DOOR HARDWARE</t>
  </si>
  <si>
    <t xml:space="preserve">08 71 00 </t>
  </si>
  <si>
    <t>CERAMIC TILING</t>
  </si>
  <si>
    <t xml:space="preserve">09 65 19 </t>
  </si>
  <si>
    <t>PAINTING</t>
  </si>
  <si>
    <t xml:space="preserve">09 91 00 </t>
  </si>
  <si>
    <t>BATH ACCESSORIES</t>
  </si>
  <si>
    <t>WARDROBE AND CLOSET SPECIALTIES</t>
  </si>
  <si>
    <t xml:space="preserve">10 57 00 </t>
  </si>
  <si>
    <t>RESIDENTIAL APPLIANCES</t>
  </si>
  <si>
    <t xml:space="preserve">11 31 00 </t>
  </si>
  <si>
    <t>COUNTERTOPS</t>
  </si>
  <si>
    <t xml:space="preserve">12 36 00 </t>
  </si>
  <si>
    <t>EARTH MOVING</t>
  </si>
  <si>
    <t xml:space="preserve">31 20 00 </t>
  </si>
  <si>
    <t>EXCAVATION AND FILL</t>
  </si>
  <si>
    <t xml:space="preserve">31 23 00 </t>
  </si>
  <si>
    <t>UNIT PAVING</t>
  </si>
  <si>
    <t xml:space="preserve">32 14 00 </t>
  </si>
  <si>
    <t>FENCES AND GATES</t>
  </si>
  <si>
    <t xml:space="preserve">32 31 00 </t>
  </si>
  <si>
    <t>33 00 00</t>
  </si>
  <si>
    <t>WATER UTILITIES</t>
  </si>
  <si>
    <t xml:space="preserve">33 10 00 </t>
  </si>
  <si>
    <t>SANITARY SEWERAGE</t>
  </si>
  <si>
    <t xml:space="preserve">33 30 00 </t>
  </si>
  <si>
    <t>STORMWATER UTILITIES</t>
  </si>
  <si>
    <t>Notes:</t>
  </si>
  <si>
    <t>Date:</t>
  </si>
  <si>
    <t>All other prices are excluded that are not included in the estimate above.</t>
  </si>
  <si>
    <t>METALS</t>
  </si>
  <si>
    <t>06 00 00</t>
  </si>
  <si>
    <t>05 00 00</t>
  </si>
  <si>
    <t>07 00 00</t>
  </si>
  <si>
    <t>32 00 00</t>
  </si>
  <si>
    <t>EXTERIOR IMPROVEMENTS</t>
  </si>
  <si>
    <t>UTILITIES</t>
  </si>
  <si>
    <t>DIVISION</t>
  </si>
  <si>
    <t>BOND &amp; INSURANCE</t>
  </si>
  <si>
    <t>PROJECT SUPERVISION &amp; PROJECT MANAGEMENT</t>
  </si>
  <si>
    <t xml:space="preserve">SUBMITTALS, SAMPLES, SHOP DRAWINGS, SITE SAFETY PLAN, ETC. </t>
  </si>
  <si>
    <t xml:space="preserve">TEMPORARY FACILITIES &amp; CONTROLS </t>
  </si>
  <si>
    <t>PROJECT SCHEDULE (Primavera P3 or P6)</t>
  </si>
  <si>
    <t>OFFICE OVERHEADS</t>
  </si>
  <si>
    <t xml:space="preserve">CLOSEOUT PROCEDURES </t>
  </si>
  <si>
    <t xml:space="preserve">PERMITS </t>
  </si>
  <si>
    <t>QTY W/
WASTAGE</t>
  </si>
  <si>
    <t>MAN HOUR RATE</t>
  </si>
  <si>
    <t>WASTAGE %</t>
  </si>
  <si>
    <t>01 00 00</t>
  </si>
  <si>
    <t>GENERAL REQUIREMENTS</t>
  </si>
  <si>
    <t>21 00 00</t>
  </si>
  <si>
    <t>22 00 00</t>
  </si>
  <si>
    <t>23 00 00</t>
  </si>
  <si>
    <t>26 00 00</t>
  </si>
  <si>
    <t>FIRE SUPPRESSION</t>
  </si>
  <si>
    <t>PLUMBING</t>
  </si>
  <si>
    <t>ELECTRICAL</t>
  </si>
  <si>
    <t>SF</t>
  </si>
  <si>
    <t>COST/ SF</t>
  </si>
  <si>
    <t>ADDITIONAL COST (If Any)</t>
  </si>
  <si>
    <t>TOTAL LABOR HOURS</t>
  </si>
  <si>
    <t>OVERHEAD COST</t>
  </si>
  <si>
    <t>PROFIT COST</t>
  </si>
  <si>
    <t xml:space="preserve">Project Scope: </t>
  </si>
  <si>
    <t>Addendum:</t>
  </si>
  <si>
    <t>N/A</t>
  </si>
  <si>
    <t>PROJECT COST</t>
  </si>
  <si>
    <t>TOTAL MATERIAL</t>
  </si>
  <si>
    <t>TOTAL LABOR</t>
  </si>
  <si>
    <t>TOTAL HOURS</t>
  </si>
  <si>
    <t>LF</t>
  </si>
  <si>
    <t>Scaffolding (Means &amp; Method)</t>
  </si>
  <si>
    <t>Soil to be Exported</t>
  </si>
  <si>
    <t>CY</t>
  </si>
  <si>
    <t>Excavation</t>
  </si>
  <si>
    <t>Backfill</t>
  </si>
  <si>
    <t>TOTAL BID COST</t>
  </si>
  <si>
    <t xml:space="preserve">09 61 19 </t>
  </si>
  <si>
    <t>FLOORING TREATMENT</t>
  </si>
  <si>
    <t xml:space="preserve">09 64 19 </t>
  </si>
  <si>
    <t>WOOD FLOORING</t>
  </si>
  <si>
    <t>Online sources are used for pricing purpose. Please verify, as per your own convenience.</t>
  </si>
  <si>
    <t>Cells highlighted with green, please price the items as per your own facility.</t>
  </si>
  <si>
    <t>TOTAL COST W/ OVERHEADS + PROFIT</t>
  </si>
  <si>
    <t>HEATING, VENTILATING &amp; AIR- CONDITIOINING</t>
  </si>
  <si>
    <t>Prices can vary, depending upon field conditions.</t>
  </si>
  <si>
    <t>PROFIT</t>
  </si>
  <si>
    <t>Sidewalk Bridge</t>
  </si>
  <si>
    <t>SITE &amp; INFRASTRUCTURE SUBGROUP WORK</t>
  </si>
  <si>
    <t>FACILITY SERVICES SUBGROUP WORK</t>
  </si>
  <si>
    <t>FACILITY CONSTRUCTION SUBGROUP WORK</t>
  </si>
  <si>
    <t>GENERAL REQUIREMENTS SUBGROUP WORK</t>
  </si>
  <si>
    <t xml:space="preserve">06 43 00 </t>
  </si>
  <si>
    <t>WOOD STAIRS &amp; RAILING</t>
  </si>
  <si>
    <t>WAGE RATE</t>
  </si>
  <si>
    <t xml:space="preserve">07 70 00 </t>
  </si>
  <si>
    <t xml:space="preserve">08 52 00 </t>
  </si>
  <si>
    <t xml:space="preserve">09 65 43 </t>
  </si>
  <si>
    <t xml:space="preserve">10 28 16 </t>
  </si>
  <si>
    <t xml:space="preserve">33 40 00 </t>
  </si>
  <si>
    <t xml:space="preserve">05 70 00 </t>
  </si>
  <si>
    <t>Site GSF:</t>
  </si>
  <si>
    <t>UNIT COST</t>
  </si>
  <si>
    <t>SUBTOTAL</t>
  </si>
  <si>
    <t>TOTAL</t>
  </si>
  <si>
    <t>CELLS HIGHLIGHTED WITH GREEN, PLEASE PRICE THE ITEMS AS PER YOUR OWN FACILITY.</t>
  </si>
  <si>
    <t>Building GSF:</t>
  </si>
  <si>
    <t>Final Cleanup</t>
  </si>
  <si>
    <t>EA</t>
  </si>
  <si>
    <t>INSERT VALUES IN RESPECTIVE HIGHLIGHTED CELLS WHERE APPLICABLE</t>
  </si>
  <si>
    <t>SPRINKLER PIPING</t>
  </si>
  <si>
    <t>FIXTURES</t>
  </si>
  <si>
    <t>DUCTING</t>
  </si>
  <si>
    <t>BY OTHERS/ SEPERATE PERMIT/ BY OWNER</t>
  </si>
  <si>
    <t>NEED QUOTATION</t>
  </si>
  <si>
    <t>Stair Railing Paint</t>
  </si>
  <si>
    <t>Wood Blocking</t>
  </si>
  <si>
    <t>Drip Edge</t>
  </si>
  <si>
    <t>Pad Footing</t>
  </si>
  <si>
    <t>Continuous Footing</t>
  </si>
  <si>
    <t>Concrete Slab</t>
  </si>
  <si>
    <t>Paint On Stair Hand Railing</t>
  </si>
  <si>
    <t>Round Duct</t>
  </si>
  <si>
    <t>Rectangular Duct</t>
  </si>
  <si>
    <t>5" Thick Reinf. Concrete Slab On Grade</t>
  </si>
  <si>
    <r>
      <t xml:space="preserve">6x6 W1.4/W1.4 Welded Wire Mesh
</t>
    </r>
    <r>
      <rPr>
        <b/>
        <sz val="11"/>
        <color rgb="FFFF0000"/>
        <rFont val="Calibri"/>
        <family val="2"/>
        <scheme val="minor"/>
      </rPr>
      <t>Note: Added On Assumed Base.</t>
    </r>
  </si>
  <si>
    <t>#5 Dowel Bar @ 24" O.C</t>
  </si>
  <si>
    <t>LBS</t>
  </si>
  <si>
    <t>Foam Work</t>
  </si>
  <si>
    <t>(3) #5 Cont. Bar</t>
  </si>
  <si>
    <t>2'-0"W x 1'-0'Deep Reinf. Concrete Footing_x000D_</t>
  </si>
  <si>
    <t>Concrete</t>
  </si>
  <si>
    <t>#5 Dowel Bar @ 12" O.C</t>
  </si>
  <si>
    <t>4'-0'W x 3'-0"L x 3'-0"Deep Reinf. Concrete Pad Footing</t>
  </si>
  <si>
    <t>#5 Bar Each Way</t>
  </si>
  <si>
    <r>
      <t xml:space="preserve">Control Joint @ 10'-0" O.C
</t>
    </r>
    <r>
      <rPr>
        <sz val="11"/>
        <color rgb="FFFF0000"/>
        <rFont val="Calibri"/>
        <family val="2"/>
        <scheme val="minor"/>
      </rPr>
      <t>Note: Added On Assumed Base.</t>
    </r>
  </si>
  <si>
    <t>Expansion Joint</t>
  </si>
  <si>
    <t>Concrete Stem Wall</t>
  </si>
  <si>
    <t xml:space="preserve">#5 Bar @ 12" O.C </t>
  </si>
  <si>
    <t>(4) #5 Bar</t>
  </si>
  <si>
    <t>10' Thick Reinf. Concrete Stem Wall</t>
  </si>
  <si>
    <t>Concrete Wall</t>
  </si>
  <si>
    <t>6" Thick Reinf. Concrete Wall</t>
  </si>
  <si>
    <t>S-1</t>
  </si>
  <si>
    <t>S-1/Details</t>
  </si>
  <si>
    <t>9" Hardie Lap Siding</t>
  </si>
  <si>
    <t>5" Hardie Lap Siding</t>
  </si>
  <si>
    <t>TRIM</t>
  </si>
  <si>
    <t>1x12 Deck Trim</t>
  </si>
  <si>
    <t>5/4" x 5" Azek Trim Board</t>
  </si>
  <si>
    <t>5/4" x 5" Azek Corner Trim Board</t>
  </si>
  <si>
    <t>5/4" x 2.25" Azek Window Trim</t>
  </si>
  <si>
    <t>5" Exterior Window Trim</t>
  </si>
  <si>
    <t>2" Window Sill Trim</t>
  </si>
  <si>
    <t>5" Exterior Door Trim</t>
  </si>
  <si>
    <t>42"H Wood Railing _x000D_w/ Post
Note: Material Assumed</t>
  </si>
  <si>
    <t>2x6 Fascia Board</t>
  </si>
  <si>
    <t>0'-6"W x 5'-0"L Juliette Balcony_x000D_
w/ 42"H Railing</t>
  </si>
  <si>
    <t>2'-3"W x 10'-0'L Entry Canopy_x000D_
w/ Hanging Wire &amp; Brackets</t>
  </si>
  <si>
    <r>
      <t xml:space="preserve">4" Interior Window Trim
</t>
    </r>
    <r>
      <rPr>
        <b/>
        <sz val="11"/>
        <color rgb="FFFF0000"/>
        <rFont val="Calibri"/>
        <family val="2"/>
        <scheme val="minor"/>
      </rPr>
      <t>Note: Thickness Added On Assumed Base.</t>
    </r>
  </si>
  <si>
    <r>
      <t xml:space="preserve">4" Interior Door Trim
</t>
    </r>
    <r>
      <rPr>
        <b/>
        <sz val="11"/>
        <color rgb="FFFF0000"/>
        <rFont val="Calibri"/>
        <family val="2"/>
        <scheme val="minor"/>
      </rPr>
      <t>Note: Thickness Added On Assumed Base.</t>
    </r>
  </si>
  <si>
    <r>
      <t xml:space="preserve">3'-0'W x 6'-8'H Single Panel Door w/ Frame
- Door Material : Wood
- Frame Material : Hollow Metal
</t>
    </r>
    <r>
      <rPr>
        <b/>
        <sz val="11"/>
        <color rgb="FFFF0000"/>
        <rFont val="Calibri"/>
        <family val="2"/>
        <scheme val="minor"/>
      </rPr>
      <t>Note: Door &amp; Frame Material Added On Assumed Base.</t>
    </r>
  </si>
  <si>
    <r>
      <t xml:space="preserve">2'-6'W x 6'-8'H Single Panel Door w/ Frame
- Door Material : Wood
- Frame Material : Hollow Metal
</t>
    </r>
    <r>
      <rPr>
        <b/>
        <sz val="11"/>
        <color rgb="FFFF0000"/>
        <rFont val="Calibri"/>
        <family val="2"/>
        <scheme val="minor"/>
      </rPr>
      <t>Note: Door &amp; Frame Material Added On Assumed Base.</t>
    </r>
  </si>
  <si>
    <r>
      <t xml:space="preserve">2'-0'W x 6'-8'H Single Panel Door w/ Frame
- Door Material : Wood
- Frame Material : Hollow Metal
</t>
    </r>
    <r>
      <rPr>
        <b/>
        <sz val="11"/>
        <color rgb="FFFF0000"/>
        <rFont val="Calibri"/>
        <family val="2"/>
        <scheme val="minor"/>
      </rPr>
      <t>Note: Door &amp; Frame Material Added On Assumed Base.</t>
    </r>
  </si>
  <si>
    <r>
      <t xml:space="preserve">2'-10'W x 6'-8'H Single Panel Door w/ Frame
- Door Material : Wood
- Frame Material : Hollow Metal
</t>
    </r>
    <r>
      <rPr>
        <b/>
        <sz val="11"/>
        <color rgb="FFFF0000"/>
        <rFont val="Calibri"/>
        <family val="2"/>
        <scheme val="minor"/>
      </rPr>
      <t>Note: Door &amp; Frame Material Added On Assumed Base.</t>
    </r>
  </si>
  <si>
    <r>
      <t xml:space="preserve">2'-6"W x 6'-8'H Single Panel Pocket Door w/ Frame
- Door Material : Wood
- Frame Material : Hollow Metal
</t>
    </r>
    <r>
      <rPr>
        <b/>
        <sz val="11"/>
        <color rgb="FFFF0000"/>
        <rFont val="Calibri"/>
        <family val="2"/>
        <scheme val="minor"/>
      </rPr>
      <t>Note: Door &amp; Frame Material Added On Assumed Base.</t>
    </r>
  </si>
  <si>
    <r>
      <t xml:space="preserve">9'-0'W x 7'-6"H Over Head Garage Door
- Door Material : Aluminum
</t>
    </r>
    <r>
      <rPr>
        <b/>
        <sz val="11"/>
        <color rgb="FFFF0000"/>
        <rFont val="Calibri"/>
        <family val="2"/>
        <scheme val="minor"/>
      </rPr>
      <t>Note: Door Material Is Added On Assumed Base.</t>
    </r>
  </si>
  <si>
    <r>
      <t xml:space="preserve">3'-0'W x 4'-10"H Window w/ Frame
- Window Material : Wood
- Frame Material : Wood
- Glazing : 1/2" Tempered Glass
</t>
    </r>
    <r>
      <rPr>
        <b/>
        <sz val="11"/>
        <color rgb="FFFF0000"/>
        <rFont val="Calibri"/>
        <family val="2"/>
        <scheme val="minor"/>
      </rPr>
      <t>Note: Material Assumed.</t>
    </r>
  </si>
  <si>
    <r>
      <t xml:space="preserve">2'-0"W x 3'-2"H Window w/ Frame
- Window Material : Wood
- Frame Material : Wood
- Glazing : 1/2" Tempered Glass
</t>
    </r>
    <r>
      <rPr>
        <b/>
        <sz val="11"/>
        <color rgb="FFFF0000"/>
        <rFont val="Calibri"/>
        <family val="2"/>
        <scheme val="minor"/>
      </rPr>
      <t>Note: Material Assumed.</t>
    </r>
  </si>
  <si>
    <r>
      <t xml:space="preserve">4'-0"W x 1'-6"H Window w/ Frame
- Window Material : Wood
- Frame Material : Wood
- Glazing : 1/2" Tempered Glass
</t>
    </r>
    <r>
      <rPr>
        <b/>
        <sz val="11"/>
        <color rgb="FFFF0000"/>
        <rFont val="Calibri"/>
        <family val="2"/>
        <scheme val="minor"/>
      </rPr>
      <t>Note: Material Assumed.</t>
    </r>
  </si>
  <si>
    <r>
      <t xml:space="preserve">2'-0'W x 1'-6"H Window w/ Frame
- Window Material : Wood
- Frame Material : Wood
- Glazing : 1/2" Tempered Glass
</t>
    </r>
    <r>
      <rPr>
        <b/>
        <sz val="11"/>
        <color rgb="FFFF0000"/>
        <rFont val="Calibri"/>
        <family val="2"/>
        <scheme val="minor"/>
      </rPr>
      <t>Note: Material Assumed.</t>
    </r>
  </si>
  <si>
    <t>A200 - A201 - A202</t>
  </si>
  <si>
    <t>42"L Horizontal Grab Bar</t>
  </si>
  <si>
    <t>36"L Horizontal Grab Bar</t>
  </si>
  <si>
    <t>18"L Vertical Grab Bar</t>
  </si>
  <si>
    <t>Soap Dispenser</t>
  </si>
  <si>
    <t>Tissue Holder</t>
  </si>
  <si>
    <t>Napkin Disposal</t>
  </si>
  <si>
    <t>Towel Hanger</t>
  </si>
  <si>
    <r>
      <t xml:space="preserve">36"x30" Wall Mounted Mirror
</t>
    </r>
    <r>
      <rPr>
        <b/>
        <sz val="11"/>
        <color rgb="FFFF0000"/>
        <rFont val="Calibri"/>
        <family val="2"/>
        <scheme val="minor"/>
      </rPr>
      <t>Note: Size Assumed</t>
    </r>
  </si>
  <si>
    <t>1'-2"Deep Walk-In-Closet w/ Rod &amp; Shelve</t>
  </si>
  <si>
    <t>1'-2"Deep Closet w/ Rod &amp; Shelve</t>
  </si>
  <si>
    <t>3'-0" x 1'-0" Built-In-Cabinet</t>
  </si>
  <si>
    <t>1'-8" Vanity Base Cabinet</t>
  </si>
  <si>
    <t>Trash Cans</t>
  </si>
  <si>
    <t>Washer &amp; Dryer</t>
  </si>
  <si>
    <t>Dishwasher w/ Faucet</t>
  </si>
  <si>
    <t>Double Door Refrigerator</t>
  </si>
  <si>
    <t>Cooking Range w/ Hood</t>
  </si>
  <si>
    <t>Solid Surface Countertop</t>
  </si>
  <si>
    <t>Solid Surface Vanity Countertop</t>
  </si>
  <si>
    <t>BACKSPLASH</t>
  </si>
  <si>
    <t>4'H Tile Backsplash</t>
  </si>
  <si>
    <t>Wood Flooring @ Living/Dining</t>
  </si>
  <si>
    <t>Wood Flooring @ Kitchen</t>
  </si>
  <si>
    <t>Wood Flooring @ Hall</t>
  </si>
  <si>
    <t>Wood Flooring @ Bedroom 1</t>
  </si>
  <si>
    <t>Wood Flooring @ Bedroom 2</t>
  </si>
  <si>
    <t>Wood Flooring @ Closet</t>
  </si>
  <si>
    <t>Wood Flooring @ Bedroom 3</t>
  </si>
  <si>
    <t>Wood Flooring @ Walk-In-Closet</t>
  </si>
  <si>
    <t>Wall Base @ Living/Dining</t>
  </si>
  <si>
    <t>Wall Base @ Kitchen</t>
  </si>
  <si>
    <t>Wall Base @ Hall</t>
  </si>
  <si>
    <t>Wall Base @ Bedroom 1</t>
  </si>
  <si>
    <t>Wall Base @ Bedroom 2</t>
  </si>
  <si>
    <t>Wall Base @ Closet</t>
  </si>
  <si>
    <t>Wall Base @ Bedroom 3</t>
  </si>
  <si>
    <t>Wall Base @ Walk-In-Closet</t>
  </si>
  <si>
    <t>WOOD WALL BASE</t>
  </si>
  <si>
    <t>Note: Wall Bases Material Is Assumed.</t>
  </si>
  <si>
    <t>STONE FLOORING</t>
  </si>
  <si>
    <t>Stone Flooring @ Powder Room</t>
  </si>
  <si>
    <t>Stone Flooring @ Bath 1</t>
  </si>
  <si>
    <t>Stone Flooring @ Bath 2</t>
  </si>
  <si>
    <t>Stone Flooring @ Foyer</t>
  </si>
  <si>
    <t>STONE WALL BASE</t>
  </si>
  <si>
    <t>Wall Base @ Powder Room</t>
  </si>
  <si>
    <t>Wall Base @ Bath 1</t>
  </si>
  <si>
    <t>Wall Base @ Bath 2</t>
  </si>
  <si>
    <t>Wall Base @ Laundry</t>
  </si>
  <si>
    <t>Wall Base @ Foyer</t>
  </si>
  <si>
    <t>SEALED CONCRETE FLOORING</t>
  </si>
  <si>
    <t>Sealed Concrete @ Garage</t>
  </si>
  <si>
    <t>Marble Threshold</t>
  </si>
  <si>
    <t>Threshold @ Exterior Door</t>
  </si>
  <si>
    <t>Sealed Concrete To Stone Transition Strip</t>
  </si>
  <si>
    <t>Lighting</t>
  </si>
  <si>
    <t>"G" Garage 1'x4' LED Troffer_x000D_
Catalog Number# Carry</t>
  </si>
  <si>
    <t>"U" 1'x4' LED Troffer_x000D_
Catalog Number# Carry</t>
  </si>
  <si>
    <t>"U1" Hall Downlight_x000D_
Catalog Number# Carry</t>
  </si>
  <si>
    <t>"U2" Kitchen Ceiling Downlight_x000D_
Catalog Number# Carry</t>
  </si>
  <si>
    <t>"U4" Living Room Light_x000D_
Catalog Number# Carry</t>
  </si>
  <si>
    <t>"U5" Bedroom Light_x000D_
Catalog Number# Carry</t>
  </si>
  <si>
    <t>"U6" Bathroom Vanity Light_x000D_
Catalog Number# Carry</t>
  </si>
  <si>
    <t>"U7" Shower Light_x000D_
Catalog Number# Carry</t>
  </si>
  <si>
    <t>"U8" Exterior Scone Light_x000D_
Catalog Number# Carry</t>
  </si>
  <si>
    <t>"EX1" Exterior Scone Exit Light_x000D_
Catalog Number# Carry</t>
  </si>
  <si>
    <t>Emergency Battery Unit_x000D_
w/ Mounting Bracket &amp; Voltmeter</t>
  </si>
  <si>
    <t>Power</t>
  </si>
  <si>
    <t>GFI Duplex Receptacle</t>
  </si>
  <si>
    <t>Duplex Receptacle</t>
  </si>
  <si>
    <t>30A Duplex Receptacle</t>
  </si>
  <si>
    <t>50A GFI Range Receptacle</t>
  </si>
  <si>
    <t>40A Range Receptacle</t>
  </si>
  <si>
    <t>GFI Gound Duplex Receptacle</t>
  </si>
  <si>
    <t>Switch</t>
  </si>
  <si>
    <t>Single Pole Switch</t>
  </si>
  <si>
    <t>Three Way Switch</t>
  </si>
  <si>
    <t>Tamper Switch</t>
  </si>
  <si>
    <t>Pressure Switch</t>
  </si>
  <si>
    <t>Flow Switch</t>
  </si>
  <si>
    <t>Low Voltage</t>
  </si>
  <si>
    <t>Low Voltage Box w/ Duplex Receptacle</t>
  </si>
  <si>
    <t>30A Disconnect Switch</t>
  </si>
  <si>
    <t>40A Disconnect Switch</t>
  </si>
  <si>
    <t>TV Outlet</t>
  </si>
  <si>
    <t>Low Frequency Mini Horn</t>
  </si>
  <si>
    <t>120V Combination Smoke/Co Alarm w/ Battery Back-Up</t>
  </si>
  <si>
    <t>Heat Detector</t>
  </si>
  <si>
    <t>Smoke Detector</t>
  </si>
  <si>
    <t>Fire Alarm Pull Station</t>
  </si>
  <si>
    <t>Fire Alarm Beacon_x000D_
Note: Verify Location with Fire Department.</t>
  </si>
  <si>
    <t>Electric Sprinkler Bell</t>
  </si>
  <si>
    <t>Panel</t>
  </si>
  <si>
    <t>Wall Panel LC (200 Amp)_x000D_
20 Amp Breaker (15 EA)_x000D_
15 Amp Breaker (8 EA)_x000D_
30 Amp Breaker (3 EA)_x000D_
40 Amp Breaker (2 EA)_x000D_
50 Amp Breaker (1 EA)</t>
  </si>
  <si>
    <t>Wall Panel HP (100 Amp)_x000D_
20 Amp Breaker (3 EA)</t>
  </si>
  <si>
    <t>"FACP" Fire Alarm Control Panel</t>
  </si>
  <si>
    <t>Allowance For Wire &amp; Conduit</t>
  </si>
  <si>
    <t>Allowance</t>
  </si>
  <si>
    <t>12x8 Exhaust Air Duct</t>
  </si>
  <si>
    <t>6" Dia Hood Exhaust Duct</t>
  </si>
  <si>
    <t>4" Dia ERV Exhaust Duct</t>
  </si>
  <si>
    <t>4" Dia ERV Intake Air Duct</t>
  </si>
  <si>
    <t>4" Dia Aluminum Dryer Exhaust Duct</t>
  </si>
  <si>
    <t>Fixture</t>
  </si>
  <si>
    <t>"RWH-4" Electric Heater (19"Hx16'Wx4'D)_x000D_
- Volt/Ph : 208/1_x000D_
- KW : 4_x000D_
MFR: Q Mark_x000D_
Model# MCSSARWH4808/HTWSM</t>
  </si>
  <si>
    <t>"CU-4.0" Condensing Unit 4.0 Ton_x000D_
- Volt/P : 208/1_x000D_
- KW : 4.3_x000D_
MFR: Mitsubishi_x000D_
Model# MXZ-8C48NAHZ2</t>
  </si>
  <si>
    <t>"E" 8x8 Double Deflection Register_x000D_
MFR: Titus_x000D_
Model# 25 RS</t>
  </si>
  <si>
    <t>"B" 6x6 Double Deflection Register_x000D_
MFR: Titus_x000D_
Model# 272RS</t>
  </si>
  <si>
    <t>"WHP-1" Heat Pump_x000D_
Note: Details Not Given.</t>
  </si>
  <si>
    <t>"WHP-2" Heat Pump_x000D_
Note: Details Not Given.</t>
  </si>
  <si>
    <t>"EF-1" Ceiling Mounted Exhaust Fan (110 CFM)_x000D_
MFR: Panasonic_x000D_
Model# FV-05-11VKSL1</t>
  </si>
  <si>
    <t>"WC-B" Wall Cap (7.5"x7.5"x1.5")_x000D_
Brand: X-Vent THVB_x000D_
Size: 4" Vent</t>
  </si>
  <si>
    <t>"WC-D" Wall Cap (7.5"x7.5"x1.5")_x000D_
Brand: X-Vent THVB_x000D_
Size: 4" Vent</t>
  </si>
  <si>
    <t>"WC-FA" Wall Cap (7.5"x7.5"x1.5")_x000D_
Brand: X-Vent THVB_x000D_
Size: 6" Vent</t>
  </si>
  <si>
    <t>"WC-6" Wall Cap (7.5"x7.5"x1.5")_x000D_
Brand: X-Vent THVB_x000D_
Size: 4" Vent</t>
  </si>
  <si>
    <t>Exhaust Air Louver (1 SF)</t>
  </si>
  <si>
    <t>Motorized Damper</t>
  </si>
  <si>
    <t>Thermostat</t>
  </si>
  <si>
    <t>Fire Damper</t>
  </si>
  <si>
    <t>Fitting</t>
  </si>
  <si>
    <t>12x8 Bend</t>
  </si>
  <si>
    <t>4" Dia Bend</t>
  </si>
  <si>
    <t>6" Dia Bend</t>
  </si>
  <si>
    <t>Duct Insulation</t>
  </si>
  <si>
    <t>Insulation @ Round Duct</t>
  </si>
  <si>
    <t>"ILF-1"
Note: Fixture Details Not Given.</t>
  </si>
  <si>
    <t xml:space="preserve">MATERIAL: Schedule 40, Black Steel Pipe </t>
  </si>
  <si>
    <t>FP100-FP201</t>
  </si>
  <si>
    <t>1" Dia Sprinkler Pipes</t>
  </si>
  <si>
    <t>1-1/2" Dia Sprinkler Pipes</t>
  </si>
  <si>
    <t>2" Dia Drain Pipes</t>
  </si>
  <si>
    <t>SPRINKLER HEAD</t>
  </si>
  <si>
    <t>1/2" Dia Concealed Sprinkler Head</t>
  </si>
  <si>
    <t>1/2" Dia Dry Sidewall Concealed Sprinkler Head</t>
  </si>
  <si>
    <t>VALVES</t>
  </si>
  <si>
    <t>2" Dia Floor Control Valve Assembly</t>
  </si>
  <si>
    <t>Supervised OS&amp;Y Gate Valve</t>
  </si>
  <si>
    <t>Check Valve</t>
  </si>
  <si>
    <t>SPRINKLER PIPING CONNECTIONS</t>
  </si>
  <si>
    <t>1" Dia 90 Deg Elbow</t>
  </si>
  <si>
    <t>1" Dia Tee</t>
  </si>
  <si>
    <t>1" To 1-1/2" Dia Reducer</t>
  </si>
  <si>
    <t>MISC.</t>
  </si>
  <si>
    <t>2-1/2"  Siamese Type Fire Department Connection w/ Signage</t>
  </si>
  <si>
    <t>PIPES SUPPORTS</t>
  </si>
  <si>
    <t>3/8" Dia Adjustable Clevis Hanger Grinnell F69</t>
  </si>
  <si>
    <t>3/8" Dia Threaded Rod</t>
  </si>
  <si>
    <t>SANITARY SEWER / VENT PIPING (BELOW GRADE)</t>
  </si>
  <si>
    <t>MATERIAL: Service Weight Cast Iron(SWCI With Push On Joints)</t>
  </si>
  <si>
    <t>SANITARY PIPES (BELOW GRADE):</t>
  </si>
  <si>
    <t>P000-P102</t>
  </si>
  <si>
    <t>4" Dia Sanitary Pipe Below Grade</t>
  </si>
  <si>
    <t>3" Dia Sanitary Pipe Below Grade</t>
  </si>
  <si>
    <t>VENT PIPES (BELOW GRADE):</t>
  </si>
  <si>
    <t>2" Dia Vent Pipe Below Grade</t>
  </si>
  <si>
    <t>SANITARY SEWER / VENT PIPING (ABOVE GRADE)</t>
  </si>
  <si>
    <t>MATERIAL: SCH.40 PVC With Solvents Joints</t>
  </si>
  <si>
    <t>SANITARY PIPES (ABOVE GRADE):</t>
  </si>
  <si>
    <t>3" Dia Sanitary Pipe Above Grade</t>
  </si>
  <si>
    <t>2" Dia Sanitary Pipe Above Grade</t>
  </si>
  <si>
    <t>VENT PIPES (ABOVE GRADE):</t>
  </si>
  <si>
    <t>2" Dia Vent Pipe Above Grade</t>
  </si>
  <si>
    <t>3" Dia Vent Pipe Above Grade</t>
  </si>
  <si>
    <t>4" Dia Vent Pipe Above Grade</t>
  </si>
  <si>
    <t>1-1/2" Dia Vent Pipe Above Grade</t>
  </si>
  <si>
    <t xml:space="preserve">DOMESTIC WATER PIPING </t>
  </si>
  <si>
    <t>MATERIAL: Copper Type "L"</t>
  </si>
  <si>
    <t>COLD WATER PIPES:</t>
  </si>
  <si>
    <t>3/4" Dia CW Pipe Above Grade</t>
  </si>
  <si>
    <t>1" Dia CW Pipe Above Grade</t>
  </si>
  <si>
    <t>1-1/4" Dia CW Pipe Above Grade</t>
  </si>
  <si>
    <t>1-1/2" Dia CW Pipe Above Grade</t>
  </si>
  <si>
    <t>1/2" Dia CW Pipe Above Grade</t>
  </si>
  <si>
    <t>HOT WATER PIPES:</t>
  </si>
  <si>
    <t>3/4" Dia HW Pipe Above Grade</t>
  </si>
  <si>
    <t>1/2" Dia HW Pipe Above Grade</t>
  </si>
  <si>
    <t>HOT WATER CIRCULATION PIPES:</t>
  </si>
  <si>
    <t>1/2" Dia HWR Pipe Above Grade</t>
  </si>
  <si>
    <t>DOMESTIC WATER PIPING INSULATION</t>
  </si>
  <si>
    <t>MATERIAL: 1/2" Fiberglass Insulation</t>
  </si>
  <si>
    <t>MATERIAL: 1" Fiberglass Insulation</t>
  </si>
  <si>
    <t>TRAP PRIMER</t>
  </si>
  <si>
    <t>Trap Primer
-Manufacturer: Precision Plumbing Products
-Model: PR-500</t>
  </si>
  <si>
    <t>DRAIN &amp; CLEANOUTS</t>
  </si>
  <si>
    <t>4" Dia Floor Cleanout
-Manufacturer: Zurn
-Model: Series ZN-1400-HD</t>
  </si>
  <si>
    <t>3" Dia Floor Drain
-Manufacturer: Zurn
-Model: Series 415B Cast Iron Body</t>
  </si>
  <si>
    <t>Hose Bib
-Manufacturer: Zurn
-Model: Series Z1321</t>
  </si>
  <si>
    <t>Water Closet</t>
  </si>
  <si>
    <t>Kitchen Sink</t>
  </si>
  <si>
    <t>Bath Tub</t>
  </si>
  <si>
    <t>Dish Washer</t>
  </si>
  <si>
    <t>Washer</t>
  </si>
  <si>
    <t>Shower Pan</t>
  </si>
  <si>
    <t>WATER METER</t>
  </si>
  <si>
    <r>
      <t xml:space="preserve">2" Dia Water Meter
</t>
    </r>
    <r>
      <rPr>
        <b/>
        <sz val="11"/>
        <color theme="1"/>
        <rFont val="Calibri"/>
        <family val="2"/>
        <scheme val="minor"/>
      </rPr>
      <t>-INCLUDES:</t>
    </r>
    <r>
      <rPr>
        <sz val="11"/>
        <color theme="1"/>
        <rFont val="Calibri"/>
        <family val="2"/>
        <scheme val="minor"/>
      </rPr>
      <t xml:space="preserve">
-(3) 2" Dia Ball Valve
-(2) 1/2" Dia Ball Valve
-(1) 2" Dia Pressure Reducing Valve
-(1) 2" Dia OS&amp;Y Gate Valve
-(1) Pressure Guage (0-200 PSI)
-(1) Pressure Guage (0-100 PSI)
-(1) Strainer </t>
    </r>
  </si>
  <si>
    <t>WATER HEATER</t>
  </si>
  <si>
    <t>Tag WH-1 To WH-5: Water Heater
-Manufacturer: RHEEM Electric Water Heater
-Model: PROPH50 T2 RH375-SO
-Capacity: 50 Gal.</t>
  </si>
  <si>
    <r>
      <rPr>
        <b/>
        <sz val="11"/>
        <color theme="1"/>
        <rFont val="Calibri"/>
        <family val="2"/>
        <scheme val="minor"/>
      </rPr>
      <t>Water Heater Details:</t>
    </r>
    <r>
      <rPr>
        <sz val="11"/>
        <color theme="1"/>
        <rFont val="Calibri"/>
        <family val="2"/>
        <scheme val="minor"/>
      </rPr>
      <t xml:space="preserve">
-(1) Pressure And Temperature Relief Valve
-(1) Expansion Tank
-(1) Recirc Pump
-(1) Vacuum Relief Valve, Check Valve, Ball Valve, Leonard Mixing Valve LF-370</t>
    </r>
  </si>
  <si>
    <t>3/4" Dia Shut Off Valves</t>
  </si>
  <si>
    <t>1/2" Dia Shut Off Valves</t>
  </si>
  <si>
    <t>PIPES CONNECTIONS</t>
  </si>
  <si>
    <t>SANITARY PIPES BELOW GRADE CONNECTION:</t>
  </si>
  <si>
    <t>4" Dia 45 Deg Elbow</t>
  </si>
  <si>
    <t>3" Dia 45 Deg Elbow</t>
  </si>
  <si>
    <t>4" to 3"  Dia Reducer</t>
  </si>
  <si>
    <t>SANITARY PIPES ABOVE GRADE CONNECTION:</t>
  </si>
  <si>
    <t>VENT PIPES ABOVE GRADE CONNECTION:</t>
  </si>
  <si>
    <t>2" Dia 45 Deg Elbow</t>
  </si>
  <si>
    <t>2" Dia 90 Deg Elbow</t>
  </si>
  <si>
    <t>3" Dia 90 Deg Elbow</t>
  </si>
  <si>
    <t>COLD WATER PIPES CONNECTION:</t>
  </si>
  <si>
    <t>3/4" Dia 90 Deg Elbow</t>
  </si>
  <si>
    <t>1" Dia TEE</t>
  </si>
  <si>
    <t>3/4" Dia TEE</t>
  </si>
  <si>
    <t>1-1/2" to 1-1/4"  Dia Reducer</t>
  </si>
  <si>
    <t>1-1/4" to 1"  Dia Reducer</t>
  </si>
  <si>
    <t>1" to 3/4"  Dia Reducer</t>
  </si>
  <si>
    <t>3/4" to 1/2"  Dia Reducer</t>
  </si>
  <si>
    <t>HOT WATER PIPES CONNECTION:</t>
  </si>
  <si>
    <t>HOT WATER CIRCULATION CONNECTION:</t>
  </si>
  <si>
    <t>1/2" Dia 90 Deg Elbow</t>
  </si>
  <si>
    <t>1/2 " Dia TEE</t>
  </si>
  <si>
    <t>1/2" Dia Adjustable Clevis Hanger Grinnell F69</t>
  </si>
  <si>
    <t>EXCAVATION &amp; BACKFILL</t>
  </si>
  <si>
    <t>Excavation For Below Grade Pipes</t>
  </si>
  <si>
    <t>AS001-AS002</t>
  </si>
  <si>
    <t>Splash Block Lower Payment</t>
  </si>
  <si>
    <t>Splash Block Upper Payment</t>
  </si>
  <si>
    <t>42" High Fence</t>
  </si>
  <si>
    <t>SH1-SH2</t>
  </si>
  <si>
    <t>4" CL 56 Fire Pipe</t>
  </si>
  <si>
    <t>1-1/2" Type K Copper Pipe</t>
  </si>
  <si>
    <t>6" PVC Sewer Pipe</t>
  </si>
  <si>
    <t>8" PVC Drain</t>
  </si>
  <si>
    <t>Recharger 330XL HD Heavy Duty Chamber</t>
  </si>
  <si>
    <t>TPO ROOFING</t>
  </si>
  <si>
    <t>TPO Flat Membrane Roofing</t>
  </si>
  <si>
    <r>
      <t xml:space="preserve">#15 Felt Paper @ Roof
</t>
    </r>
    <r>
      <rPr>
        <b/>
        <sz val="11"/>
        <color rgb="FFFF0000"/>
        <rFont val="Calibri"/>
        <family val="2"/>
        <scheme val="minor"/>
      </rPr>
      <t>Note : Size Assumed</t>
    </r>
  </si>
  <si>
    <t>(3'-0" W) ICE &amp; Water Shield</t>
  </si>
  <si>
    <t>Downspouts</t>
  </si>
  <si>
    <t>(0'-6"W) Vented Soffit</t>
  </si>
  <si>
    <t>(1'-2"W) Vented Soffit</t>
  </si>
  <si>
    <r>
      <rPr>
        <b/>
        <sz val="12"/>
        <color theme="1"/>
        <rFont val="Calibri"/>
        <family val="2"/>
        <scheme val="minor"/>
      </rPr>
      <t xml:space="preserve">Door Paint
</t>
    </r>
    <r>
      <rPr>
        <sz val="12"/>
        <color theme="1"/>
        <rFont val="Calibri"/>
        <family val="2"/>
        <scheme val="minor"/>
      </rPr>
      <t>Paint 1st Coat</t>
    </r>
    <r>
      <rPr>
        <b/>
        <sz val="12"/>
        <color theme="1"/>
        <rFont val="Calibri"/>
        <family val="2"/>
        <scheme val="minor"/>
      </rPr>
      <t xml:space="preserve"> (250 SF/ Gallon) 
</t>
    </r>
    <r>
      <rPr>
        <sz val="12"/>
        <color theme="1"/>
        <rFont val="Calibri"/>
        <family val="2"/>
        <scheme val="minor"/>
      </rPr>
      <t>Paint 2nd Coat</t>
    </r>
    <r>
      <rPr>
        <b/>
        <sz val="12"/>
        <color theme="1"/>
        <rFont val="Calibri"/>
        <family val="2"/>
        <scheme val="minor"/>
      </rPr>
      <t xml:space="preserve"> (400 SF/ Gallon) </t>
    </r>
  </si>
  <si>
    <r>
      <rPr>
        <b/>
        <sz val="12"/>
        <color theme="1"/>
        <rFont val="Calibri"/>
        <family val="2"/>
        <scheme val="minor"/>
      </rPr>
      <t>Trim Paint</t>
    </r>
    <r>
      <rPr>
        <sz val="12"/>
        <color theme="1"/>
        <rFont val="Calibri"/>
        <family val="2"/>
        <scheme val="minor"/>
      </rPr>
      <t xml:space="preserve"> </t>
    </r>
    <r>
      <rPr>
        <b/>
        <sz val="12"/>
        <color theme="1"/>
        <rFont val="Calibri"/>
        <family val="2"/>
        <scheme val="minor"/>
      </rPr>
      <t xml:space="preserve">
</t>
    </r>
    <r>
      <rPr>
        <sz val="12"/>
        <color theme="1"/>
        <rFont val="Calibri"/>
        <family val="2"/>
        <scheme val="minor"/>
      </rPr>
      <t>Paint 1st Coat</t>
    </r>
    <r>
      <rPr>
        <b/>
        <sz val="12"/>
        <color theme="1"/>
        <rFont val="Calibri"/>
        <family val="2"/>
        <scheme val="minor"/>
      </rPr>
      <t xml:space="preserve"> (250 SF/ Gallon) 
</t>
    </r>
    <r>
      <rPr>
        <sz val="12"/>
        <color theme="1"/>
        <rFont val="Calibri"/>
        <family val="2"/>
        <scheme val="minor"/>
      </rPr>
      <t>Paint 2nd Coat</t>
    </r>
    <r>
      <rPr>
        <b/>
        <sz val="12"/>
        <color theme="1"/>
        <rFont val="Calibri"/>
        <family val="2"/>
        <scheme val="minor"/>
      </rPr>
      <t xml:space="preserve"> (400 SF/ Gallon) </t>
    </r>
  </si>
  <si>
    <t>Paint On Door:</t>
  </si>
  <si>
    <t>Paint On Door Trim:</t>
  </si>
  <si>
    <r>
      <rPr>
        <b/>
        <sz val="12"/>
        <color theme="1"/>
        <rFont val="Calibri"/>
        <family val="2"/>
        <scheme val="minor"/>
      </rPr>
      <t xml:space="preserve">Siding Paint 
</t>
    </r>
    <r>
      <rPr>
        <sz val="12"/>
        <color theme="1"/>
        <rFont val="Calibri"/>
        <family val="2"/>
        <scheme val="minor"/>
      </rPr>
      <t>Paint 1st Coat</t>
    </r>
    <r>
      <rPr>
        <b/>
        <sz val="12"/>
        <color theme="1"/>
        <rFont val="Calibri"/>
        <family val="2"/>
        <scheme val="minor"/>
      </rPr>
      <t xml:space="preserve"> (250 SF/ Gallon) 
</t>
    </r>
    <r>
      <rPr>
        <sz val="12"/>
        <color theme="1"/>
        <rFont val="Calibri"/>
        <family val="2"/>
        <scheme val="minor"/>
      </rPr>
      <t>Paint 2nd Coat</t>
    </r>
    <r>
      <rPr>
        <b/>
        <sz val="12"/>
        <color theme="1"/>
        <rFont val="Calibri"/>
        <family val="2"/>
        <scheme val="minor"/>
      </rPr>
      <t xml:space="preserve"> (400 SF/ Gallon) </t>
    </r>
  </si>
  <si>
    <t>Paint On Siding:</t>
  </si>
  <si>
    <t>Exterior Trim Paint:</t>
  </si>
  <si>
    <t>Paint On (42" H) Wood Railing</t>
  </si>
  <si>
    <t xml:space="preserve">(36"H) Metal Stair Hand Railing </t>
  </si>
  <si>
    <t>2x6 Wood Blocking @ Bath Accessories</t>
  </si>
  <si>
    <t>FLASHING FOR DOOR &amp; WINDOW</t>
  </si>
  <si>
    <t>Flashing</t>
  </si>
  <si>
    <t>CAULKING</t>
  </si>
  <si>
    <r>
      <t xml:space="preserve">Acoustical Sealant/Caulking Tubes </t>
    </r>
    <r>
      <rPr>
        <b/>
        <sz val="11"/>
        <color theme="1"/>
        <rFont val="Calibri"/>
        <family val="2"/>
        <scheme val="minor"/>
      </rPr>
      <t>(55 LF/Tube)</t>
    </r>
  </si>
  <si>
    <t>FIRST FLOOR FRAMING</t>
  </si>
  <si>
    <t>WALLS:</t>
  </si>
  <si>
    <t>2x6 Wood Stud Wall @ 16" O.C (9'-0" H)</t>
  </si>
  <si>
    <t>2x6 Wood Stud Wall @ 16" O.C</t>
  </si>
  <si>
    <t>2x6 SPF # Stud Grade - 16'</t>
  </si>
  <si>
    <t>2x6 SPF # Stud Grade - 104-5/8"</t>
  </si>
  <si>
    <t>2x6 P.T SPF # Stud Grade - 16'</t>
  </si>
  <si>
    <t>2x4 Wood Stud Wall @ 16" O.C (9'-0" H)</t>
  </si>
  <si>
    <t>2x4 Wood Stud Wall @ 16" O.C</t>
  </si>
  <si>
    <t>2x4 SPF # Stud Grade - 104-5/8"</t>
  </si>
  <si>
    <t>2x4 SPF # Stud Grade - 16'</t>
  </si>
  <si>
    <t>2x4 P.T SPF # Stud Grade - 16'</t>
  </si>
  <si>
    <t>2x4 SPF # Stud Grade - 92-5/8"</t>
  </si>
  <si>
    <t>EXTRA STUD:</t>
  </si>
  <si>
    <t>2x6 SPF # Stud Grade - 92-5/8"</t>
  </si>
  <si>
    <t>1-3/4" X 14" LVL - 18'</t>
  </si>
  <si>
    <t>BEAMS:</t>
  </si>
  <si>
    <t>1-3/4" x 9-1/4" LVL - 10'</t>
  </si>
  <si>
    <t>1-3/4" x 9-1/4" LVL - 14'</t>
  </si>
  <si>
    <t>HEADERS:</t>
  </si>
  <si>
    <t>2x10 SPF #1 - 8'</t>
  </si>
  <si>
    <t>2x8 SPF #1 - 8'</t>
  </si>
  <si>
    <t>4x6 SPF #1 - 10'</t>
  </si>
  <si>
    <t>WOOD POST:</t>
  </si>
  <si>
    <t>CONNECTIONS</t>
  </si>
  <si>
    <t>FIRST FLOOR</t>
  </si>
  <si>
    <t>1/2' Dia x 10"L Anchor Bolts @ 48" O.C</t>
  </si>
  <si>
    <t>SILL SEALER</t>
  </si>
  <si>
    <r>
      <t xml:space="preserve">5.5" Sill Sealer </t>
    </r>
    <r>
      <rPr>
        <b/>
        <sz val="11"/>
        <color theme="1"/>
        <rFont val="Calibri"/>
        <family val="2"/>
        <scheme val="minor"/>
      </rPr>
      <t>(50 LF/Roll)</t>
    </r>
  </si>
  <si>
    <t>5/8" Zip Panel Sheathing (4'x8')</t>
  </si>
  <si>
    <t>SECOND FLOOR</t>
  </si>
  <si>
    <t>Simpson CCQ46 Post Cap</t>
  </si>
  <si>
    <t>Simpson ECCQ46 Post Cap</t>
  </si>
  <si>
    <t>Simpson BA1.81/14</t>
  </si>
  <si>
    <t>Simpson IUS1.81/14</t>
  </si>
  <si>
    <t>SECOND FLOOR FRAMING</t>
  </si>
  <si>
    <t>1-3/4" x 14" LVL - 10'</t>
  </si>
  <si>
    <t>1-3/4" x 14" LVL - 20'</t>
  </si>
  <si>
    <t>1-3/4" x 14" LVL - 18'</t>
  </si>
  <si>
    <t>1-3/4" x 14" LVL - 16'</t>
  </si>
  <si>
    <t>1-3/4" x 14" LVL - 12'</t>
  </si>
  <si>
    <t>1-3/4" x 14" LVL - 8'</t>
  </si>
  <si>
    <t>1-3/4" x 14" LVL - 22'</t>
  </si>
  <si>
    <t>2x10 SPF #1 - 10'</t>
  </si>
  <si>
    <t>2x10 SPF #1 - 12'</t>
  </si>
  <si>
    <t>2x8 SPF #1 - 12'</t>
  </si>
  <si>
    <t>14" BCI 6000s-1.8 Floor Joist @ 16" O.C</t>
  </si>
  <si>
    <t>14" BCI 6000s-1.8 - 20'</t>
  </si>
  <si>
    <t>14" BCI 6000s-1.8 - 16'</t>
  </si>
  <si>
    <t>14" BCI 6000s-1.8 - 8'</t>
  </si>
  <si>
    <t>14" BCI 6000s-1.8 - 10'</t>
  </si>
  <si>
    <t>14" BCI 6000s-1.8 - 12'</t>
  </si>
  <si>
    <t>14" BCI 6000s-1.8 - 18'</t>
  </si>
  <si>
    <t>14" BCI 6000s-1.8 - 14'</t>
  </si>
  <si>
    <t>RIM JOIST:</t>
  </si>
  <si>
    <t>2x14 SPF # Stud Grade - 16'</t>
  </si>
  <si>
    <t>WOOD BLOCKING:</t>
  </si>
  <si>
    <t>THIRD FLOOR</t>
  </si>
  <si>
    <t>THIRD FLOOR FRAMING</t>
  </si>
  <si>
    <t>2x6 Interior Wood Stud Wall @ 16" O.C</t>
  </si>
  <si>
    <t>1-3/4" x 14" LVL - 14'</t>
  </si>
  <si>
    <t>2x10 SPF #1 - 16'</t>
  </si>
  <si>
    <t>14" BCI 6000s-1.8 FLOOR JOIST @ 16" O.C</t>
  </si>
  <si>
    <t>14" BCI 6000s-1.8 - 22'</t>
  </si>
  <si>
    <t>FOURTH FLOOR</t>
  </si>
  <si>
    <t>Simpson Dtt2Z</t>
  </si>
  <si>
    <t>2x4 Privacy Wood Stud Wall @ 16" O.C</t>
  </si>
  <si>
    <t>4x4 SPF #1 - 10'</t>
  </si>
  <si>
    <t>4x4 SPF #1 - 8'</t>
  </si>
  <si>
    <t>14" BCIs-1.8 FLOOR JOIST @ 16" O.C</t>
  </si>
  <si>
    <t>14" BCIs-1.8 - 20'</t>
  </si>
  <si>
    <t>14" BCIs-1.8 - 10'</t>
  </si>
  <si>
    <t>14" BCIs-1.8 - 16'</t>
  </si>
  <si>
    <t>2x12 P.T DECK JOIST @ 16" O.C</t>
  </si>
  <si>
    <t>2x12 P.T SPF #1 - 14'</t>
  </si>
  <si>
    <t>2x12 P.T SPF #1 - 20'</t>
  </si>
  <si>
    <t>LEDGER BOARD:</t>
  </si>
  <si>
    <t>2x12 P.T SPF # Stud Grade - 16'</t>
  </si>
  <si>
    <t>14" BCI 6000s-1.8 ROOF RAFTER @ 16" O.C</t>
  </si>
  <si>
    <t>ROOF FRAMING</t>
  </si>
  <si>
    <t>ROOF</t>
  </si>
  <si>
    <t>Simpson H2.5A</t>
  </si>
  <si>
    <t>STAIR FRAMING</t>
  </si>
  <si>
    <t>TREAD:</t>
  </si>
  <si>
    <t>2x12 SPF #1 - 16'</t>
  </si>
  <si>
    <t>RISER:</t>
  </si>
  <si>
    <t>2x8 SPF #1 - 16'</t>
  </si>
  <si>
    <t>STRINGER:</t>
  </si>
  <si>
    <t>INSULATION</t>
  </si>
  <si>
    <t>Tyvek Wrap</t>
  </si>
  <si>
    <r>
      <t xml:space="preserve">R-19, Batt Insulation (6" Stud) @ 16" O.C.
</t>
    </r>
    <r>
      <rPr>
        <b/>
        <sz val="11"/>
        <color rgb="FFFF0000"/>
        <rFont val="Calibri"/>
        <family val="2"/>
        <scheme val="minor"/>
      </rPr>
      <t>Note: Insulation Assumed.</t>
    </r>
  </si>
  <si>
    <r>
      <t xml:space="preserve">R-30 Spray Foam Insulation
</t>
    </r>
    <r>
      <rPr>
        <b/>
        <sz val="11"/>
        <color rgb="FFFF0000"/>
        <rFont val="Calibri"/>
        <family val="2"/>
        <scheme val="minor"/>
      </rPr>
      <t>Note: Insulation Assumed.</t>
    </r>
  </si>
  <si>
    <t>DRYWALL</t>
  </si>
  <si>
    <t>A100</t>
  </si>
  <si>
    <t>A101</t>
  </si>
  <si>
    <t>A102</t>
  </si>
  <si>
    <t>S-4</t>
  </si>
  <si>
    <t>S-5</t>
  </si>
  <si>
    <t>S-2,S-3.S-4</t>
  </si>
  <si>
    <t>S-3</t>
  </si>
  <si>
    <t>Walls:</t>
  </si>
  <si>
    <t>5/8" Type X Gypsum Board (4'x12')</t>
  </si>
  <si>
    <t>5/8" Gypsum Board (4'x8')</t>
  </si>
  <si>
    <t>5/8" Gypsum Board (4'x12')</t>
  </si>
  <si>
    <t>5/8" Moisture Resistant Board (4'x8')</t>
  </si>
  <si>
    <t>1/2" Cement Wall Board (3'x5')</t>
  </si>
  <si>
    <t>Ceiling:</t>
  </si>
  <si>
    <t>5/8" Type X Gypsum Board (4'x8')</t>
  </si>
  <si>
    <t>Taping</t>
  </si>
  <si>
    <t>Mudding</t>
  </si>
  <si>
    <t>Drywall Screws</t>
  </si>
  <si>
    <r>
      <t xml:space="preserve">Ceramic Wall Tile @ Bath
</t>
    </r>
    <r>
      <rPr>
        <b/>
        <sz val="11"/>
        <color rgb="FFFF0000"/>
        <rFont val="Calibri"/>
        <family val="2"/>
        <scheme val="minor"/>
      </rPr>
      <t>Note: Material Assumed.</t>
    </r>
  </si>
  <si>
    <r>
      <t xml:space="preserve">Wall Paint
</t>
    </r>
    <r>
      <rPr>
        <sz val="12"/>
        <rFont val="Calibri"/>
        <family val="2"/>
        <scheme val="minor"/>
      </rPr>
      <t>Paint 1st Coat</t>
    </r>
    <r>
      <rPr>
        <b/>
        <sz val="12"/>
        <rFont val="Calibri"/>
        <family val="2"/>
        <scheme val="minor"/>
      </rPr>
      <t xml:space="preserve"> (250 SF/ Gallon) 
</t>
    </r>
    <r>
      <rPr>
        <sz val="12"/>
        <rFont val="Calibri"/>
        <family val="2"/>
        <scheme val="minor"/>
      </rPr>
      <t>Paint 2nd Coat</t>
    </r>
    <r>
      <rPr>
        <b/>
        <sz val="12"/>
        <rFont val="Calibri"/>
        <family val="2"/>
        <scheme val="minor"/>
      </rPr>
      <t xml:space="preserve"> (400 SF/ Gallon) </t>
    </r>
  </si>
  <si>
    <t>Paint On Wall:</t>
  </si>
  <si>
    <r>
      <t xml:space="preserve">Ceiling Paint
</t>
    </r>
    <r>
      <rPr>
        <sz val="12"/>
        <rFont val="Calibri"/>
        <family val="2"/>
        <scheme val="minor"/>
      </rPr>
      <t>Paint 1st Coat</t>
    </r>
    <r>
      <rPr>
        <b/>
        <sz val="12"/>
        <rFont val="Calibri"/>
        <family val="2"/>
        <scheme val="minor"/>
      </rPr>
      <t xml:space="preserve"> (250 SF/ Gallon) 
</t>
    </r>
    <r>
      <rPr>
        <sz val="12"/>
        <rFont val="Calibri"/>
        <family val="2"/>
        <scheme val="minor"/>
      </rPr>
      <t>Paint 2nd Coat</t>
    </r>
    <r>
      <rPr>
        <b/>
        <sz val="12"/>
        <rFont val="Calibri"/>
        <family val="2"/>
        <scheme val="minor"/>
      </rPr>
      <t xml:space="preserve"> (400 SF/ Gallon) </t>
    </r>
  </si>
  <si>
    <t>Paint On Ceiling:</t>
  </si>
  <si>
    <t>A100,A101,A102</t>
  </si>
  <si>
    <t>A100,A101.A102</t>
  </si>
  <si>
    <t>A100,A101.,A102</t>
  </si>
  <si>
    <t>A200,A201,A202</t>
  </si>
  <si>
    <t>Allowance For Door Hardware's</t>
  </si>
  <si>
    <t>Stone To Wood Transition Strip</t>
  </si>
  <si>
    <t>Stone Flooring @ Laundry</t>
  </si>
  <si>
    <t>1'-2"Deep Upper Cabinet w/ Associated Hardware's</t>
  </si>
  <si>
    <t>2'-0'Deep Base Cabinet w/ Associated Hardware's</t>
  </si>
  <si>
    <t>Lavatory</t>
  </si>
  <si>
    <t>4" Dia Wye</t>
  </si>
  <si>
    <t>Insulation @ Rectangular Duct</t>
  </si>
  <si>
    <t>8" Dia Exhaust Air Duct</t>
  </si>
  <si>
    <t>4" Dia Exhaust Air Duct</t>
  </si>
  <si>
    <t>Weather Proof GFI Duplex Receptacle</t>
  </si>
  <si>
    <t>H100,H101</t>
  </si>
  <si>
    <t>E100 - E201</t>
  </si>
  <si>
    <t>GC</t>
  </si>
  <si>
    <t>226 MANGOLIA STREET</t>
  </si>
  <si>
    <t>226 MANGOLIA STREET BOSTON, MA 02121</t>
  </si>
  <si>
    <t/>
  </si>
  <si>
    <r>
      <t xml:space="preserve">5'-0'W x 6'-8"H Double Panel Sliding Door
- 1/2" Tempered Glass Glazing
- Door Material : Glass Door
- Frame Material : Hollow Metal
</t>
    </r>
    <r>
      <rPr>
        <b/>
        <sz val="11"/>
        <color rgb="FFFF0000"/>
        <rFont val="Calibri"/>
        <family val="2"/>
        <scheme val="minor"/>
      </rPr>
      <t>Note: Door &amp; Frame Material Added On Assumed Base.</t>
    </r>
  </si>
  <si>
    <r>
      <t xml:space="preserve">4'-0'W x 6'-8"H Double Panel Sliding Door
- 1/2" Tempered Glass Glazing
- Door Material : Glass Door
- Frame Material : Hollow Metal
</t>
    </r>
    <r>
      <rPr>
        <b/>
        <sz val="11"/>
        <color rgb="FFFF0000"/>
        <rFont val="Calibri"/>
        <family val="2"/>
        <scheme val="minor"/>
      </rPr>
      <t>Note: Door &amp; Frame Material Added On Assumed Base.</t>
    </r>
  </si>
  <si>
    <t>"RWH-1" Electric Heater (19"Hx16'Wx4'D)
- Volt/Ph : 120/1
- KW : 1
MFR: Q Mark
Model# CRA 1512-T2</t>
  </si>
  <si>
    <t>LS</t>
  </si>
  <si>
    <t>Supervision</t>
  </si>
  <si>
    <t>Moblization</t>
  </si>
  <si>
    <t>Mobilization</t>
  </si>
  <si>
    <t>"RWH-1" Electric Heater (19"Hx16'Wx4'D)_x000D_
- Volt/Ph : 120/1_x000D_
- KW : 1_x000D_
MFR: Q Mark_x000D_
Model# CRA 1512-T2</t>
  </si>
  <si>
    <r>
      <t xml:space="preserve">4'-0'W x 6'-8"H Double Panel Sliding Door_x000D_
- 1/2" Tempered Glass Glazing
- Door Material : Wood
- Frame Material : Hollow Metal
</t>
    </r>
    <r>
      <rPr>
        <b/>
        <sz val="11"/>
        <color rgb="FFFF0000"/>
        <rFont val="Calibri"/>
        <family val="2"/>
        <scheme val="minor"/>
      </rPr>
      <t>Note: Door &amp; Frame Material Added On Assumed Base.</t>
    </r>
  </si>
  <si>
    <r>
      <t xml:space="preserve">5'-0'W x 6'-8"H Double Panel Sliding Door_x000D_
- 1/2" Tempered Glass Glazing
- Door Material : Wood
- Frame Material : Hollow Metal
</t>
    </r>
    <r>
      <rPr>
        <b/>
        <sz val="11"/>
        <color rgb="FFFF0000"/>
        <rFont val="Calibri"/>
        <family val="2"/>
        <scheme val="minor"/>
      </rPr>
      <t>Note: Door &amp; Frame Material Added On Assumed Base.</t>
    </r>
  </si>
  <si>
    <t>5.5" Sill Sealer (50 LF/Roll)</t>
  </si>
  <si>
    <t>Form Work</t>
  </si>
  <si>
    <t>BACKFILL:</t>
  </si>
  <si>
    <t>#5 Bar</t>
  </si>
  <si>
    <t>REINF:</t>
  </si>
  <si>
    <t>Concrete (2000 PSI)</t>
  </si>
  <si>
    <t>CONCRETE:</t>
  </si>
  <si>
    <t>WK</t>
  </si>
  <si>
    <r>
      <t>Crane or Lift</t>
    </r>
    <r>
      <rPr>
        <b/>
        <sz val="11"/>
        <color rgb="FFFF0000"/>
        <rFont val="Calibri"/>
        <family val="2"/>
        <scheme val="minor"/>
      </rPr>
      <t xml:space="preserve"> </t>
    </r>
    <r>
      <rPr>
        <b/>
        <sz val="11"/>
        <color rgb="FFA50021"/>
        <rFont val="Calibri"/>
        <family val="2"/>
        <scheme val="minor"/>
      </rPr>
      <t>(If Required)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</si>
</sst>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[$$-409]* #,##0.00_ ;_-[$$-409]* \-#,##0.00\ ;_-[$$-409]* &quot;-&quot;??_ ;_-@_ "/>
    <numFmt numFmtId="166" formatCode="_-* #,##0.00_-;\-* #,##0.00_-;_-* &quot;-&quot;_-;_-@_-"/>
    <numFmt numFmtId="167" formatCode="_-[$$-409]* #,##0_ ;_-[$$-409]* \-#,##0\ ;_-[$$-409]* &quot;-&quot;??_ ;_-@_ "/>
    <numFmt numFmtId="168" formatCode="_(&quot;$&quot;* #,##0_);_(&quot;$&quot;* \(#,##0\);_(&quot;$&quot;* &quot;-&quot;??_);_(@_)"/>
    <numFmt numFmtId="169" formatCode="00\ 00\ 00"/>
    <numFmt numFmtId="170" formatCode="&quot;$&quot;#,##0.00"/>
    <numFmt numFmtId="171" formatCode="[$-F800]dddd\,\ mmmm\ dd\,\ yyyy"/>
    <numFmt numFmtId="172" formatCode="_(* #,##0_);_(* \(#,##0\);_(* &quot;-&quot;??_);_(@_)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20"/>
      <name val="Calibri"/>
      <family val="2"/>
      <scheme val="minor"/>
    </font>
    <font>
      <b/>
      <sz val="14"/>
      <name val="Calibri"/>
      <family val="2"/>
      <scheme val="minor"/>
    </font>
    <font>
      <b/>
      <i/>
      <sz val="11"/>
      <color theme="4" tint="-0.249977111117893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i/>
      <sz val="11"/>
      <color rgb="FFC00000"/>
      <name val="Calibri"/>
      <family val="2"/>
      <scheme val="minor"/>
    </font>
    <font>
      <b/>
      <sz val="14"/>
      <color rgb="FFA5002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rgb="FFA50021"/>
      <name val="Calibri"/>
      <family val="2"/>
      <scheme val="minor"/>
    </font>
    <font>
      <sz val="12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6"/>
      </patternFill>
    </fill>
    <fill>
      <patternFill patternType="solid">
        <fgColor theme="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A50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</fills>
  <borders count="7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theme="0"/>
      </top>
      <bottom style="medium">
        <color auto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auto="1"/>
      </bottom>
      <diagonal/>
    </border>
    <border>
      <left style="thin">
        <color theme="0"/>
      </left>
      <right style="thin">
        <color theme="0"/>
      </right>
      <top style="medium">
        <color indexed="64"/>
      </top>
      <bottom style="medium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medium">
        <color indexed="64"/>
      </top>
      <bottom style="medium">
        <color auto="1"/>
      </bottom>
      <diagonal/>
    </border>
    <border>
      <left style="thin">
        <color theme="0"/>
      </left>
      <right/>
      <top style="thin">
        <color theme="0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164" fontId="1" fillId="0" borderId="0" applyFont="0" applyFill="0" applyBorder="0" applyAlignment="0" applyProtection="0"/>
    <xf numFmtId="0" fontId="2" fillId="3" borderId="36" applyNumberFormat="0" applyFont="0" applyAlignment="0" applyProtection="0"/>
    <xf numFmtId="43" fontId="2" fillId="0" borderId="0" applyFont="0" applyFill="0" applyBorder="0" applyAlignment="0" applyProtection="0"/>
  </cellStyleXfs>
  <cellXfs count="363">
    <xf numFmtId="0" fontId="0" fillId="0" borderId="0" xfId="0"/>
    <xf numFmtId="0" fontId="6" fillId="0" borderId="25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4" fillId="0" borderId="27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168" fontId="4" fillId="0" borderId="28" xfId="1" applyNumberFormat="1" applyFont="1" applyBorder="1" applyAlignment="1">
      <alignment horizontal="center" vertical="center"/>
    </xf>
    <xf numFmtId="168" fontId="4" fillId="0" borderId="28" xfId="1" applyNumberFormat="1" applyFont="1" applyFill="1" applyBorder="1" applyAlignment="1">
      <alignment horizontal="center" vertical="center" wrapText="1"/>
    </xf>
    <xf numFmtId="165" fontId="6" fillId="0" borderId="35" xfId="0" applyNumberFormat="1" applyFont="1" applyBorder="1" applyAlignment="1">
      <alignment vertical="center"/>
    </xf>
    <xf numFmtId="0" fontId="6" fillId="0" borderId="10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165" fontId="5" fillId="0" borderId="7" xfId="0" applyNumberFormat="1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164" fontId="0" fillId="0" borderId="9" xfId="4" applyFont="1" applyBorder="1" applyAlignment="1">
      <alignment vertical="center"/>
    </xf>
    <xf numFmtId="164" fontId="0" fillId="0" borderId="26" xfId="4" applyFont="1" applyBorder="1" applyAlignment="1">
      <alignment vertical="center"/>
    </xf>
    <xf numFmtId="0" fontId="7" fillId="0" borderId="28" xfId="0" applyFont="1" applyBorder="1" applyAlignment="1">
      <alignment vertical="center"/>
    </xf>
    <xf numFmtId="9" fontId="5" fillId="0" borderId="3" xfId="2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10" xfId="0" applyFont="1" applyBorder="1" applyAlignment="1">
      <alignment vertical="center" wrapText="1"/>
    </xf>
    <xf numFmtId="169" fontId="6" fillId="0" borderId="25" xfId="0" applyNumberFormat="1" applyFont="1" applyBorder="1" applyAlignment="1">
      <alignment horizontal="center" vertical="center"/>
    </xf>
    <xf numFmtId="43" fontId="0" fillId="0" borderId="9" xfId="4" applyNumberFormat="1" applyFont="1" applyBorder="1" applyAlignment="1">
      <alignment vertical="center"/>
    </xf>
    <xf numFmtId="9" fontId="3" fillId="2" borderId="8" xfId="2" applyFont="1" applyFill="1" applyBorder="1" applyAlignment="1">
      <alignment horizontal="center" vertical="center"/>
    </xf>
    <xf numFmtId="170" fontId="3" fillId="2" borderId="8" xfId="1" applyNumberFormat="1" applyFont="1" applyFill="1" applyBorder="1" applyAlignment="1">
      <alignment horizontal="center" vertical="center"/>
    </xf>
    <xf numFmtId="170" fontId="0" fillId="2" borderId="8" xfId="1" applyNumberFormat="1" applyFont="1" applyFill="1" applyBorder="1" applyAlignment="1">
      <alignment horizontal="center" vertical="center"/>
    </xf>
    <xf numFmtId="170" fontId="0" fillId="2" borderId="7" xfId="1" applyNumberFormat="1" applyFont="1" applyFill="1" applyBorder="1" applyAlignment="1">
      <alignment horizontal="center" vertical="center"/>
    </xf>
    <xf numFmtId="2" fontId="0" fillId="2" borderId="8" xfId="4" applyNumberFormat="1" applyFont="1" applyFill="1" applyBorder="1" applyAlignment="1">
      <alignment horizontal="center" vertical="center"/>
    </xf>
    <xf numFmtId="170" fontId="0" fillId="2" borderId="11" xfId="1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169" fontId="4" fillId="0" borderId="3" xfId="0" applyNumberFormat="1" applyFont="1" applyBorder="1" applyAlignment="1">
      <alignment horizontal="center" vertical="center" wrapText="1"/>
    </xf>
    <xf numFmtId="1" fontId="4" fillId="0" borderId="3" xfId="0" applyNumberFormat="1" applyFont="1" applyBorder="1" applyAlignment="1">
      <alignment horizontal="center" vertical="center" wrapText="1"/>
    </xf>
    <xf numFmtId="165" fontId="4" fillId="0" borderId="3" xfId="0" applyNumberFormat="1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/>
    </xf>
    <xf numFmtId="169" fontId="15" fillId="0" borderId="12" xfId="0" applyNumberFormat="1" applyFont="1" applyBorder="1" applyAlignment="1">
      <alignment horizontal="center" vertical="center" wrapText="1"/>
    </xf>
    <xf numFmtId="169" fontId="5" fillId="0" borderId="12" xfId="0" applyNumberFormat="1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169" fontId="5" fillId="0" borderId="25" xfId="0" applyNumberFormat="1" applyFont="1" applyBorder="1" applyAlignment="1">
      <alignment horizontal="center" vertical="center"/>
    </xf>
    <xf numFmtId="166" fontId="0" fillId="2" borderId="14" xfId="4" applyNumberFormat="1" applyFont="1" applyFill="1" applyBorder="1" applyAlignment="1">
      <alignment horizontal="center" vertical="center"/>
    </xf>
    <xf numFmtId="166" fontId="0" fillId="0" borderId="0" xfId="4" applyNumberFormat="1" applyFont="1" applyAlignment="1">
      <alignment horizontal="center" vertical="center"/>
    </xf>
    <xf numFmtId="167" fontId="0" fillId="0" borderId="0" xfId="4" applyNumberFormat="1" applyFont="1" applyAlignment="1">
      <alignment horizontal="center" vertical="center"/>
    </xf>
    <xf numFmtId="0" fontId="6" fillId="0" borderId="5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6" fillId="0" borderId="28" xfId="0" applyFont="1" applyBorder="1" applyAlignment="1">
      <alignment horizontal="left" vertical="center"/>
    </xf>
    <xf numFmtId="165" fontId="5" fillId="2" borderId="2" xfId="1" applyNumberFormat="1" applyFont="1" applyFill="1" applyBorder="1" applyAlignment="1">
      <alignment horizontal="center" vertical="center"/>
    </xf>
    <xf numFmtId="165" fontId="5" fillId="2" borderId="3" xfId="4" applyNumberFormat="1" applyFont="1" applyFill="1" applyBorder="1" applyAlignment="1">
      <alignment horizontal="center" vertical="center"/>
    </xf>
    <xf numFmtId="2" fontId="5" fillId="2" borderId="3" xfId="4" applyNumberFormat="1" applyFont="1" applyFill="1" applyBorder="1" applyAlignment="1">
      <alignment horizontal="center" vertical="center"/>
    </xf>
    <xf numFmtId="0" fontId="17" fillId="0" borderId="0" xfId="0" applyFont="1" applyAlignment="1">
      <alignment vertical="center"/>
    </xf>
    <xf numFmtId="168" fontId="4" fillId="0" borderId="39" xfId="1" applyNumberFormat="1" applyFont="1" applyFill="1" applyBorder="1" applyAlignment="1">
      <alignment horizontal="center" vertical="center" wrapText="1"/>
    </xf>
    <xf numFmtId="1" fontId="7" fillId="0" borderId="8" xfId="0" applyNumberFormat="1" applyFont="1" applyBorder="1" applyAlignment="1">
      <alignment horizontal="center" vertical="center"/>
    </xf>
    <xf numFmtId="1" fontId="7" fillId="0" borderId="11" xfId="0" applyNumberFormat="1" applyFont="1" applyBorder="1" applyAlignment="1">
      <alignment horizontal="center" vertical="center"/>
    </xf>
    <xf numFmtId="1" fontId="3" fillId="2" borderId="8" xfId="3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65" fontId="0" fillId="0" borderId="0" xfId="0" applyNumberFormat="1" applyAlignment="1">
      <alignment vertical="center"/>
    </xf>
    <xf numFmtId="0" fontId="0" fillId="0" borderId="24" xfId="0" applyBorder="1" applyAlignment="1">
      <alignment horizontal="center" vertical="center"/>
    </xf>
    <xf numFmtId="0" fontId="0" fillId="0" borderId="8" xfId="0" applyBorder="1" applyAlignment="1">
      <alignment horizontal="left" vertical="center" wrapText="1"/>
    </xf>
    <xf numFmtId="0" fontId="0" fillId="0" borderId="16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vertical="center"/>
    </xf>
    <xf numFmtId="0" fontId="0" fillId="0" borderId="31" xfId="0" applyBorder="1" applyAlignment="1">
      <alignment horizontal="center" vertical="center"/>
    </xf>
    <xf numFmtId="0" fontId="0" fillId="0" borderId="43" xfId="0" applyBorder="1" applyAlignment="1">
      <alignment horizontal="left" vertical="center"/>
    </xf>
    <xf numFmtId="0" fontId="0" fillId="0" borderId="11" xfId="0" applyBorder="1" applyAlignment="1">
      <alignment vertical="center"/>
    </xf>
    <xf numFmtId="0" fontId="0" fillId="0" borderId="11" xfId="0" applyBorder="1" applyAlignment="1">
      <alignment horizontal="left" vertical="center"/>
    </xf>
    <xf numFmtId="0" fontId="0" fillId="0" borderId="8" xfId="0" applyBorder="1" applyAlignment="1">
      <alignment vertical="center"/>
    </xf>
    <xf numFmtId="0" fontId="0" fillId="0" borderId="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65" fontId="0" fillId="0" borderId="9" xfId="0" applyNumberFormat="1" applyBorder="1" applyAlignment="1">
      <alignment vertical="center"/>
    </xf>
    <xf numFmtId="0" fontId="0" fillId="0" borderId="40" xfId="0" applyBorder="1" applyAlignment="1">
      <alignment horizontal="left" vertical="center"/>
    </xf>
    <xf numFmtId="0" fontId="0" fillId="0" borderId="8" xfId="0" applyBorder="1" applyAlignment="1">
      <alignment vertical="center" wrapText="1"/>
    </xf>
    <xf numFmtId="0" fontId="0" fillId="0" borderId="27" xfId="0" applyBorder="1" applyAlignment="1">
      <alignment horizontal="center" vertical="center"/>
    </xf>
    <xf numFmtId="0" fontId="0" fillId="0" borderId="16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1" fontId="0" fillId="0" borderId="8" xfId="0" applyNumberFormat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10" xfId="0" applyBorder="1" applyAlignment="1">
      <alignment vertical="center" wrapText="1"/>
    </xf>
    <xf numFmtId="169" fontId="0" fillId="0" borderId="0" xfId="0" applyNumberFormat="1" applyAlignment="1">
      <alignment horizontal="center" vertical="center"/>
    </xf>
    <xf numFmtId="0" fontId="0" fillId="0" borderId="0" xfId="0" applyAlignment="1">
      <alignment vertical="center" wrapText="1"/>
    </xf>
    <xf numFmtId="1" fontId="0" fillId="0" borderId="0" xfId="0" applyNumberFormat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0" fontId="14" fillId="0" borderId="3" xfId="0" applyFont="1" applyBorder="1" applyAlignment="1">
      <alignment vertical="center" wrapText="1"/>
    </xf>
    <xf numFmtId="0" fontId="4" fillId="2" borderId="1" xfId="3" applyFont="1" applyFill="1" applyBorder="1" applyAlignment="1">
      <alignment vertical="center"/>
    </xf>
    <xf numFmtId="0" fontId="4" fillId="2" borderId="2" xfId="3" applyFont="1" applyFill="1" applyBorder="1" applyAlignment="1">
      <alignment vertical="center"/>
    </xf>
    <xf numFmtId="0" fontId="0" fillId="0" borderId="23" xfId="0" applyBorder="1" applyAlignment="1">
      <alignment horizontal="center" vertical="center" wrapText="1"/>
    </xf>
    <xf numFmtId="0" fontId="4" fillId="2" borderId="32" xfId="3" applyFont="1" applyFill="1" applyBorder="1" applyAlignment="1">
      <alignment vertical="center"/>
    </xf>
    <xf numFmtId="0" fontId="4" fillId="2" borderId="30" xfId="3" applyFont="1" applyFill="1" applyBorder="1" applyAlignment="1">
      <alignment vertical="center"/>
    </xf>
    <xf numFmtId="165" fontId="5" fillId="2" borderId="30" xfId="1" applyNumberFormat="1" applyFont="1" applyFill="1" applyBorder="1" applyAlignment="1">
      <alignment horizontal="center" vertical="center"/>
    </xf>
    <xf numFmtId="165" fontId="5" fillId="2" borderId="46" xfId="4" applyNumberFormat="1" applyFont="1" applyFill="1" applyBorder="1" applyAlignment="1">
      <alignment horizontal="center" vertical="center"/>
    </xf>
    <xf numFmtId="2" fontId="5" fillId="2" borderId="46" xfId="4" applyNumberFormat="1" applyFont="1" applyFill="1" applyBorder="1" applyAlignment="1">
      <alignment horizontal="center" vertical="center"/>
    </xf>
    <xf numFmtId="1" fontId="0" fillId="0" borderId="10" xfId="0" applyNumberFormat="1" applyBorder="1" applyAlignment="1">
      <alignment horizontal="center" vertical="center"/>
    </xf>
    <xf numFmtId="1" fontId="0" fillId="0" borderId="45" xfId="0" applyNumberFormat="1" applyBorder="1" applyAlignment="1">
      <alignment horizontal="center" vertical="center"/>
    </xf>
    <xf numFmtId="0" fontId="5" fillId="2" borderId="17" xfId="0" applyFont="1" applyFill="1" applyBorder="1" applyAlignment="1">
      <alignment horizontal="left" vertical="center"/>
    </xf>
    <xf numFmtId="9" fontId="0" fillId="0" borderId="0" xfId="2" applyFont="1" applyAlignment="1">
      <alignment vertical="center"/>
    </xf>
    <xf numFmtId="0" fontId="0" fillId="0" borderId="47" xfId="0" applyBorder="1" applyAlignment="1">
      <alignment vertical="center"/>
    </xf>
    <xf numFmtId="0" fontId="0" fillId="0" borderId="48" xfId="0" applyBorder="1" applyAlignment="1">
      <alignment vertical="center"/>
    </xf>
    <xf numFmtId="0" fontId="0" fillId="0" borderId="49" xfId="0" applyBorder="1" applyAlignment="1">
      <alignment vertical="center"/>
    </xf>
    <xf numFmtId="0" fontId="5" fillId="0" borderId="47" xfId="0" applyFont="1" applyBorder="1" applyAlignment="1">
      <alignment horizontal="center" vertical="center"/>
    </xf>
    <xf numFmtId="0" fontId="0" fillId="0" borderId="51" xfId="0" applyBorder="1" applyAlignment="1">
      <alignment vertical="center"/>
    </xf>
    <xf numFmtId="0" fontId="0" fillId="0" borderId="53" xfId="0" applyBorder="1" applyAlignment="1">
      <alignment vertical="center"/>
    </xf>
    <xf numFmtId="0" fontId="0" fillId="0" borderId="50" xfId="0" applyBorder="1" applyAlignment="1">
      <alignment vertical="center"/>
    </xf>
    <xf numFmtId="0" fontId="0" fillId="0" borderId="54" xfId="0" applyBorder="1" applyAlignment="1">
      <alignment vertical="center"/>
    </xf>
    <xf numFmtId="0" fontId="0" fillId="0" borderId="55" xfId="0" applyBorder="1" applyAlignment="1">
      <alignment vertical="center"/>
    </xf>
    <xf numFmtId="0" fontId="0" fillId="0" borderId="56" xfId="0" applyBorder="1" applyAlignment="1">
      <alignment vertical="center"/>
    </xf>
    <xf numFmtId="0" fontId="0" fillId="0" borderId="57" xfId="0" applyBorder="1" applyAlignment="1">
      <alignment vertical="center"/>
    </xf>
    <xf numFmtId="0" fontId="5" fillId="0" borderId="52" xfId="0" applyFont="1" applyBorder="1" applyAlignment="1">
      <alignment horizontal="center" vertical="center"/>
    </xf>
    <xf numFmtId="0" fontId="5" fillId="0" borderId="55" xfId="0" applyFont="1" applyBorder="1" applyAlignment="1">
      <alignment horizontal="center" vertical="center"/>
    </xf>
    <xf numFmtId="0" fontId="5" fillId="0" borderId="50" xfId="0" applyFont="1" applyBorder="1" applyAlignment="1">
      <alignment horizontal="center" vertical="center"/>
    </xf>
    <xf numFmtId="9" fontId="0" fillId="0" borderId="58" xfId="2" applyFont="1" applyFill="1" applyBorder="1" applyAlignment="1">
      <alignment vertical="center"/>
    </xf>
    <xf numFmtId="170" fontId="0" fillId="2" borderId="10" xfId="1" applyNumberFormat="1" applyFont="1" applyFill="1" applyBorder="1" applyAlignment="1">
      <alignment horizontal="center" vertical="center"/>
    </xf>
    <xf numFmtId="0" fontId="0" fillId="0" borderId="24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/>
    </xf>
    <xf numFmtId="169" fontId="15" fillId="0" borderId="59" xfId="0" applyNumberFormat="1" applyFont="1" applyBorder="1" applyAlignment="1">
      <alignment horizontal="center" vertical="center" wrapText="1"/>
    </xf>
    <xf numFmtId="0" fontId="0" fillId="0" borderId="7" xfId="0" applyBorder="1" applyAlignment="1">
      <alignment vertical="center" wrapText="1"/>
    </xf>
    <xf numFmtId="1" fontId="0" fillId="0" borderId="7" xfId="0" applyNumberFormat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9" fontId="3" fillId="2" borderId="7" xfId="2" applyFont="1" applyFill="1" applyBorder="1" applyAlignment="1">
      <alignment horizontal="center" vertical="center"/>
    </xf>
    <xf numFmtId="1" fontId="3" fillId="2" borderId="7" xfId="3" applyNumberFormat="1" applyFont="1" applyFill="1" applyBorder="1" applyAlignment="1">
      <alignment horizontal="center" vertical="center"/>
    </xf>
    <xf numFmtId="170" fontId="3" fillId="2" borderId="7" xfId="1" applyNumberFormat="1" applyFont="1" applyFill="1" applyBorder="1" applyAlignment="1">
      <alignment horizontal="center" vertical="center"/>
    </xf>
    <xf numFmtId="2" fontId="0" fillId="2" borderId="7" xfId="4" applyNumberFormat="1" applyFont="1" applyFill="1" applyBorder="1" applyAlignment="1">
      <alignment horizontal="center" vertical="center"/>
    </xf>
    <xf numFmtId="170" fontId="0" fillId="2" borderId="43" xfId="1" applyNumberFormat="1" applyFont="1" applyFill="1" applyBorder="1" applyAlignment="1">
      <alignment horizontal="center" vertical="center"/>
    </xf>
    <xf numFmtId="167" fontId="5" fillId="0" borderId="3" xfId="0" applyNumberFormat="1" applyFont="1" applyBorder="1" applyAlignment="1">
      <alignment horizontal="center" vertical="center"/>
    </xf>
    <xf numFmtId="0" fontId="0" fillId="0" borderId="26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64" xfId="0" applyBorder="1" applyAlignment="1">
      <alignment vertical="center"/>
    </xf>
    <xf numFmtId="0" fontId="5" fillId="0" borderId="9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0" fillId="0" borderId="19" xfId="0" applyBorder="1" applyAlignment="1">
      <alignment horizontal="center" vertical="center" wrapText="1"/>
    </xf>
    <xf numFmtId="0" fontId="0" fillId="0" borderId="65" xfId="0" applyBorder="1" applyAlignment="1">
      <alignment horizontal="center" vertical="center"/>
    </xf>
    <xf numFmtId="169" fontId="0" fillId="0" borderId="65" xfId="0" applyNumberFormat="1" applyBorder="1" applyAlignment="1">
      <alignment horizontal="center" vertical="center"/>
    </xf>
    <xf numFmtId="0" fontId="0" fillId="0" borderId="20" xfId="0" applyBorder="1" applyAlignment="1">
      <alignment vertical="center" wrapText="1"/>
    </xf>
    <xf numFmtId="1" fontId="0" fillId="0" borderId="20" xfId="0" applyNumberFormat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9" fontId="3" fillId="2" borderId="20" xfId="2" applyFont="1" applyFill="1" applyBorder="1" applyAlignment="1">
      <alignment horizontal="center" vertical="center"/>
    </xf>
    <xf numFmtId="1" fontId="3" fillId="2" borderId="20" xfId="3" applyNumberFormat="1" applyFont="1" applyFill="1" applyBorder="1" applyAlignment="1">
      <alignment horizontal="center" vertical="center"/>
    </xf>
    <xf numFmtId="170" fontId="3" fillId="2" borderId="20" xfId="1" applyNumberFormat="1" applyFont="1" applyFill="1" applyBorder="1" applyAlignment="1">
      <alignment horizontal="center" vertical="center"/>
    </xf>
    <xf numFmtId="170" fontId="0" fillId="2" borderId="20" xfId="1" applyNumberFormat="1" applyFont="1" applyFill="1" applyBorder="1" applyAlignment="1">
      <alignment horizontal="center" vertical="center"/>
    </xf>
    <xf numFmtId="170" fontId="0" fillId="2" borderId="58" xfId="1" applyNumberFormat="1" applyFont="1" applyFill="1" applyBorder="1" applyAlignment="1">
      <alignment horizontal="center" vertical="center"/>
    </xf>
    <xf numFmtId="2" fontId="0" fillId="2" borderId="20" xfId="4" applyNumberFormat="1" applyFont="1" applyFill="1" applyBorder="1" applyAlignment="1">
      <alignment horizontal="center" vertical="center"/>
    </xf>
    <xf numFmtId="170" fontId="0" fillId="2" borderId="40" xfId="1" applyNumberFormat="1" applyFont="1" applyFill="1" applyBorder="1" applyAlignment="1">
      <alignment horizontal="center" vertical="center"/>
    </xf>
    <xf numFmtId="170" fontId="0" fillId="2" borderId="21" xfId="1" applyNumberFormat="1" applyFont="1" applyFill="1" applyBorder="1" applyAlignment="1">
      <alignment horizontal="center" vertical="center"/>
    </xf>
    <xf numFmtId="0" fontId="0" fillId="0" borderId="66" xfId="0" applyBorder="1" applyAlignment="1">
      <alignment horizontal="center" vertical="center"/>
    </xf>
    <xf numFmtId="1" fontId="0" fillId="0" borderId="67" xfId="0" applyNumberFormat="1" applyBorder="1" applyAlignment="1">
      <alignment horizontal="center" vertical="center"/>
    </xf>
    <xf numFmtId="0" fontId="0" fillId="2" borderId="66" xfId="0" applyFill="1" applyBorder="1" applyAlignment="1">
      <alignment horizontal="center" vertical="center"/>
    </xf>
    <xf numFmtId="170" fontId="3" fillId="2" borderId="70" xfId="1" applyNumberFormat="1" applyFont="1" applyFill="1" applyBorder="1" applyAlignment="1">
      <alignment horizontal="center" vertical="center"/>
    </xf>
    <xf numFmtId="170" fontId="0" fillId="2" borderId="68" xfId="1" applyNumberFormat="1" applyFont="1" applyFill="1" applyBorder="1" applyAlignment="1">
      <alignment horizontal="center" vertical="center"/>
    </xf>
    <xf numFmtId="170" fontId="0" fillId="2" borderId="37" xfId="1" applyNumberFormat="1" applyFont="1" applyFill="1" applyBorder="1" applyAlignment="1">
      <alignment horizontal="center" vertical="center"/>
    </xf>
    <xf numFmtId="2" fontId="0" fillId="2" borderId="70" xfId="4" applyNumberFormat="1" applyFont="1" applyFill="1" applyBorder="1" applyAlignment="1">
      <alignment horizontal="center" vertical="center"/>
    </xf>
    <xf numFmtId="170" fontId="0" fillId="2" borderId="69" xfId="1" applyNumberFormat="1" applyFont="1" applyFill="1" applyBorder="1" applyAlignment="1">
      <alignment horizontal="center" vertical="center"/>
    </xf>
    <xf numFmtId="170" fontId="0" fillId="2" borderId="71" xfId="1" applyNumberFormat="1" applyFont="1" applyFill="1" applyBorder="1" applyAlignment="1">
      <alignment horizontal="center" vertical="center"/>
    </xf>
    <xf numFmtId="0" fontId="14" fillId="0" borderId="46" xfId="0" applyFont="1" applyBorder="1" applyAlignment="1">
      <alignment vertical="center" wrapText="1"/>
    </xf>
    <xf numFmtId="0" fontId="6" fillId="0" borderId="53" xfId="0" applyFont="1" applyBorder="1" applyAlignment="1">
      <alignment horizontal="center" vertical="center"/>
    </xf>
    <xf numFmtId="1" fontId="7" fillId="0" borderId="48" xfId="0" applyNumberFormat="1" applyFont="1" applyBorder="1" applyAlignment="1">
      <alignment horizontal="center" vertical="center"/>
    </xf>
    <xf numFmtId="9" fontId="3" fillId="2" borderId="72" xfId="2" applyFont="1" applyFill="1" applyBorder="1" applyAlignment="1">
      <alignment horizontal="center" vertical="center"/>
    </xf>
    <xf numFmtId="1" fontId="3" fillId="2" borderId="37" xfId="3" applyNumberFormat="1" applyFont="1" applyFill="1" applyBorder="1" applyAlignment="1">
      <alignment horizontal="center" vertical="center"/>
    </xf>
    <xf numFmtId="0" fontId="0" fillId="0" borderId="67" xfId="0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0" fillId="0" borderId="67" xfId="0" applyBorder="1" applyAlignment="1">
      <alignment horizontal="center" vertical="center"/>
    </xf>
    <xf numFmtId="0" fontId="0" fillId="0" borderId="44" xfId="0" applyBorder="1" applyAlignment="1">
      <alignment horizontal="center" vertical="center" wrapText="1"/>
    </xf>
    <xf numFmtId="0" fontId="0" fillId="0" borderId="56" xfId="0" applyBorder="1" applyAlignment="1">
      <alignment horizontal="center" vertical="center" wrapText="1"/>
    </xf>
    <xf numFmtId="0" fontId="6" fillId="0" borderId="56" xfId="0" applyFont="1" applyBorder="1" applyAlignment="1">
      <alignment horizontal="center" vertical="center"/>
    </xf>
    <xf numFmtId="166" fontId="4" fillId="0" borderId="3" xfId="4" applyNumberFormat="1" applyFont="1" applyFill="1" applyBorder="1" applyAlignment="1">
      <alignment horizontal="center" vertical="center" wrapText="1"/>
    </xf>
    <xf numFmtId="167" fontId="4" fillId="0" borderId="3" xfId="4" applyNumberFormat="1" applyFont="1" applyFill="1" applyBorder="1" applyAlignment="1">
      <alignment horizontal="center" vertical="center" wrapText="1"/>
    </xf>
    <xf numFmtId="167" fontId="0" fillId="0" borderId="8" xfId="0" applyNumberFormat="1" applyBorder="1" applyAlignment="1">
      <alignment horizontal="center" vertical="center" wrapText="1"/>
    </xf>
    <xf numFmtId="167" fontId="0" fillId="0" borderId="8" xfId="0" applyNumberFormat="1" applyBorder="1" applyAlignment="1">
      <alignment horizontal="center" vertical="center"/>
    </xf>
    <xf numFmtId="167" fontId="0" fillId="0" borderId="11" xfId="0" applyNumberFormat="1" applyBorder="1" applyAlignment="1">
      <alignment horizontal="center" vertical="center"/>
    </xf>
    <xf numFmtId="167" fontId="4" fillId="0" borderId="42" xfId="1" applyNumberFormat="1" applyFont="1" applyFill="1" applyBorder="1" applyAlignment="1">
      <alignment horizontal="center" vertical="center" wrapText="1"/>
    </xf>
    <xf numFmtId="167" fontId="6" fillId="0" borderId="6" xfId="0" applyNumberFormat="1" applyFont="1" applyBorder="1" applyAlignment="1">
      <alignment vertical="center"/>
    </xf>
    <xf numFmtId="167" fontId="0" fillId="0" borderId="34" xfId="0" applyNumberFormat="1" applyBorder="1" applyAlignment="1">
      <alignment vertical="center"/>
    </xf>
    <xf numFmtId="167" fontId="6" fillId="0" borderId="9" xfId="0" applyNumberFormat="1" applyFont="1" applyBorder="1" applyAlignment="1">
      <alignment vertical="center"/>
    </xf>
    <xf numFmtId="167" fontId="0" fillId="0" borderId="21" xfId="0" applyNumberFormat="1" applyBorder="1" applyAlignment="1">
      <alignment vertical="center"/>
    </xf>
    <xf numFmtId="167" fontId="6" fillId="0" borderId="29" xfId="0" applyNumberFormat="1" applyFont="1" applyBorder="1" applyAlignment="1">
      <alignment vertical="center"/>
    </xf>
    <xf numFmtId="0" fontId="0" fillId="2" borderId="17" xfId="0" applyFill="1" applyBorder="1" applyAlignment="1">
      <alignment vertical="center"/>
    </xf>
    <xf numFmtId="0" fontId="16" fillId="2" borderId="0" xfId="0" applyFont="1" applyFill="1" applyAlignment="1">
      <alignment vertical="center" wrapText="1"/>
    </xf>
    <xf numFmtId="0" fontId="0" fillId="2" borderId="0" xfId="0" applyFill="1" applyAlignment="1">
      <alignment vertical="center"/>
    </xf>
    <xf numFmtId="169" fontId="0" fillId="2" borderId="0" xfId="0" applyNumberFormat="1" applyFill="1" applyAlignment="1">
      <alignment horizontal="center" vertical="center"/>
    </xf>
    <xf numFmtId="0" fontId="16" fillId="2" borderId="0" xfId="0" applyFont="1" applyFill="1" applyAlignment="1">
      <alignment horizontal="center" vertical="center" wrapText="1"/>
    </xf>
    <xf numFmtId="0" fontId="17" fillId="2" borderId="0" xfId="0" applyFont="1" applyFill="1" applyAlignment="1">
      <alignment vertical="center" wrapText="1"/>
    </xf>
    <xf numFmtId="0" fontId="17" fillId="2" borderId="0" xfId="0" applyFont="1" applyFill="1" applyAlignment="1">
      <alignment horizontal="center" vertical="center" wrapText="1"/>
    </xf>
    <xf numFmtId="1" fontId="7" fillId="0" borderId="10" xfId="0" applyNumberFormat="1" applyFont="1" applyBorder="1" applyAlignment="1">
      <alignment horizontal="center" vertical="center"/>
    </xf>
    <xf numFmtId="0" fontId="5" fillId="0" borderId="59" xfId="0" applyFont="1" applyBorder="1" applyAlignment="1">
      <alignment horizontal="center" vertical="center"/>
    </xf>
    <xf numFmtId="0" fontId="12" fillId="4" borderId="1" xfId="5" applyFont="1" applyFill="1" applyBorder="1" applyAlignment="1">
      <alignment vertical="center" wrapText="1"/>
    </xf>
    <xf numFmtId="0" fontId="12" fillId="4" borderId="4" xfId="5" applyFont="1" applyFill="1" applyBorder="1" applyAlignment="1">
      <alignment vertical="center" wrapText="1"/>
    </xf>
    <xf numFmtId="0" fontId="12" fillId="4" borderId="4" xfId="5" applyFont="1" applyFill="1" applyBorder="1" applyAlignment="1">
      <alignment horizontal="center" vertical="center" wrapText="1"/>
    </xf>
    <xf numFmtId="0" fontId="18" fillId="4" borderId="4" xfId="5" applyFont="1" applyFill="1" applyBorder="1" applyAlignment="1">
      <alignment vertical="center" wrapText="1"/>
    </xf>
    <xf numFmtId="0" fontId="12" fillId="4" borderId="2" xfId="5" applyFont="1" applyFill="1" applyBorder="1" applyAlignment="1">
      <alignment vertical="center" wrapText="1"/>
    </xf>
    <xf numFmtId="0" fontId="12" fillId="6" borderId="1" xfId="5" applyFont="1" applyFill="1" applyBorder="1" applyAlignment="1">
      <alignment vertical="center" wrapText="1"/>
    </xf>
    <xf numFmtId="0" fontId="12" fillId="6" borderId="4" xfId="5" applyFont="1" applyFill="1" applyBorder="1" applyAlignment="1">
      <alignment vertical="center" wrapText="1"/>
    </xf>
    <xf numFmtId="0" fontId="12" fillId="6" borderId="4" xfId="5" applyFont="1" applyFill="1" applyBorder="1" applyAlignment="1">
      <alignment horizontal="center" vertical="center" wrapText="1"/>
    </xf>
    <xf numFmtId="0" fontId="18" fillId="6" borderId="4" xfId="5" applyFont="1" applyFill="1" applyBorder="1" applyAlignment="1">
      <alignment vertical="center" wrapText="1"/>
    </xf>
    <xf numFmtId="1" fontId="7" fillId="0" borderId="45" xfId="0" applyNumberFormat="1" applyFont="1" applyBorder="1" applyAlignment="1">
      <alignment horizontal="center" vertical="center"/>
    </xf>
    <xf numFmtId="167" fontId="5" fillId="0" borderId="46" xfId="0" applyNumberFormat="1" applyFont="1" applyBorder="1" applyAlignment="1">
      <alignment horizontal="center" vertical="center"/>
    </xf>
    <xf numFmtId="0" fontId="5" fillId="0" borderId="26" xfId="0" applyFont="1" applyBorder="1" applyAlignment="1">
      <alignment vertical="center"/>
    </xf>
    <xf numFmtId="0" fontId="12" fillId="4" borderId="60" xfId="5" applyFont="1" applyFill="1" applyBorder="1" applyAlignment="1">
      <alignment horizontal="center" vertical="center" wrapText="1"/>
    </xf>
    <xf numFmtId="0" fontId="18" fillId="4" borderId="61" xfId="5" applyFont="1" applyFill="1" applyBorder="1" applyAlignment="1">
      <alignment vertical="center" wrapText="1"/>
    </xf>
    <xf numFmtId="0" fontId="12" fillId="6" borderId="32" xfId="5" applyFont="1" applyFill="1" applyBorder="1" applyAlignment="1">
      <alignment vertical="center" wrapText="1"/>
    </xf>
    <xf numFmtId="0" fontId="12" fillId="6" borderId="33" xfId="5" applyFont="1" applyFill="1" applyBorder="1" applyAlignment="1">
      <alignment vertical="center" wrapText="1"/>
    </xf>
    <xf numFmtId="0" fontId="12" fillId="6" borderId="33" xfId="5" applyFont="1" applyFill="1" applyBorder="1" applyAlignment="1">
      <alignment horizontal="center" vertical="center" wrapText="1"/>
    </xf>
    <xf numFmtId="0" fontId="21" fillId="6" borderId="33" xfId="5" applyFont="1" applyFill="1" applyBorder="1" applyAlignment="1">
      <alignment horizontal="center" vertical="center" wrapText="1"/>
    </xf>
    <xf numFmtId="0" fontId="18" fillId="6" borderId="33" xfId="5" applyFont="1" applyFill="1" applyBorder="1" applyAlignment="1">
      <alignment vertical="center" wrapText="1"/>
    </xf>
    <xf numFmtId="0" fontId="12" fillId="6" borderId="30" xfId="5" applyFont="1" applyFill="1" applyBorder="1" applyAlignment="1">
      <alignment vertical="center" wrapText="1"/>
    </xf>
    <xf numFmtId="169" fontId="22" fillId="0" borderId="59" xfId="0" applyNumberFormat="1" applyFont="1" applyBorder="1" applyAlignment="1">
      <alignment horizontal="center" vertical="center" wrapText="1"/>
    </xf>
    <xf numFmtId="44" fontId="5" fillId="7" borderId="3" xfId="1" applyFont="1" applyFill="1" applyBorder="1" applyAlignment="1">
      <alignment vertical="center" wrapText="1"/>
    </xf>
    <xf numFmtId="0" fontId="4" fillId="7" borderId="7" xfId="5" applyFont="1" applyFill="1" applyBorder="1" applyAlignment="1">
      <alignment horizontal="justify" vertical="center"/>
    </xf>
    <xf numFmtId="169" fontId="12" fillId="4" borderId="60" xfId="5" applyNumberFormat="1" applyFont="1" applyFill="1" applyBorder="1" applyAlignment="1">
      <alignment horizontal="center" vertical="center" wrapText="1"/>
    </xf>
    <xf numFmtId="0" fontId="4" fillId="7" borderId="8" xfId="5" applyFont="1" applyFill="1" applyBorder="1" applyAlignment="1">
      <alignment horizontal="justify" vertical="center"/>
    </xf>
    <xf numFmtId="0" fontId="4" fillId="7" borderId="36" xfId="5" applyFont="1" applyFill="1" applyAlignment="1">
      <alignment horizontal="justify" vertical="center"/>
    </xf>
    <xf numFmtId="169" fontId="22" fillId="0" borderId="12" xfId="0" applyNumberFormat="1" applyFont="1" applyBorder="1" applyAlignment="1">
      <alignment horizontal="center" vertical="center" wrapText="1"/>
    </xf>
    <xf numFmtId="0" fontId="21" fillId="6" borderId="4" xfId="5" applyFont="1" applyFill="1" applyBorder="1" applyAlignment="1">
      <alignment horizontal="center" vertical="center" wrapText="1"/>
    </xf>
    <xf numFmtId="165" fontId="12" fillId="6" borderId="22" xfId="1" applyNumberFormat="1" applyFont="1" applyFill="1" applyBorder="1" applyAlignment="1">
      <alignment horizontal="center" vertical="center"/>
    </xf>
    <xf numFmtId="165" fontId="12" fillId="6" borderId="38" xfId="4" applyNumberFormat="1" applyFont="1" applyFill="1" applyBorder="1" applyAlignment="1">
      <alignment horizontal="center" vertical="center"/>
    </xf>
    <xf numFmtId="2" fontId="12" fillId="6" borderId="38" xfId="4" applyNumberFormat="1" applyFont="1" applyFill="1" applyBorder="1" applyAlignment="1">
      <alignment horizontal="center" vertical="center"/>
    </xf>
    <xf numFmtId="167" fontId="12" fillId="6" borderId="38" xfId="0" applyNumberFormat="1" applyFont="1" applyFill="1" applyBorder="1" applyAlignment="1">
      <alignment horizontal="center" vertical="center"/>
    </xf>
    <xf numFmtId="0" fontId="23" fillId="2" borderId="0" xfId="0" applyFont="1" applyFill="1" applyAlignment="1">
      <alignment vertical="center" wrapText="1"/>
    </xf>
    <xf numFmtId="0" fontId="0" fillId="5" borderId="3" xfId="0" applyFill="1" applyBorder="1" applyAlignment="1">
      <alignment horizontal="center" vertical="center"/>
    </xf>
    <xf numFmtId="168" fontId="4" fillId="8" borderId="39" xfId="1" applyNumberFormat="1" applyFont="1" applyFill="1" applyBorder="1" applyAlignment="1">
      <alignment horizontal="center" vertical="center" wrapText="1"/>
    </xf>
    <xf numFmtId="167" fontId="0" fillId="8" borderId="11" xfId="0" applyNumberFormat="1" applyFill="1" applyBorder="1" applyAlignment="1">
      <alignment horizontal="center" vertical="center"/>
    </xf>
    <xf numFmtId="9" fontId="12" fillId="8" borderId="3" xfId="2" applyFont="1" applyFill="1" applyBorder="1" applyAlignment="1">
      <alignment horizontal="center" vertical="center"/>
    </xf>
    <xf numFmtId="167" fontId="18" fillId="8" borderId="9" xfId="0" applyNumberFormat="1" applyFont="1" applyFill="1" applyBorder="1" applyAlignment="1">
      <alignment vertical="center"/>
    </xf>
    <xf numFmtId="167" fontId="0" fillId="8" borderId="9" xfId="0" applyNumberFormat="1" applyFill="1" applyBorder="1" applyAlignment="1">
      <alignment vertical="center"/>
    </xf>
    <xf numFmtId="165" fontId="25" fillId="8" borderId="21" xfId="0" applyNumberFormat="1" applyFont="1" applyFill="1" applyBorder="1" applyAlignment="1">
      <alignment horizontal="center" vertical="center"/>
    </xf>
    <xf numFmtId="0" fontId="0" fillId="8" borderId="3" xfId="0" applyFill="1" applyBorder="1" applyAlignment="1">
      <alignment horizontal="center" vertical="center"/>
    </xf>
    <xf numFmtId="0" fontId="0" fillId="8" borderId="11" xfId="0" applyFill="1" applyBorder="1" applyAlignment="1">
      <alignment vertical="center"/>
    </xf>
    <xf numFmtId="9" fontId="5" fillId="8" borderId="8" xfId="2" applyFont="1" applyFill="1" applyBorder="1" applyAlignment="1">
      <alignment horizontal="center" vertical="center"/>
    </xf>
    <xf numFmtId="0" fontId="5" fillId="0" borderId="56" xfId="0" applyFont="1" applyBorder="1" applyAlignment="1">
      <alignment horizontal="center" vertical="center"/>
    </xf>
    <xf numFmtId="167" fontId="8" fillId="8" borderId="20" xfId="0" applyNumberFormat="1" applyFont="1" applyFill="1" applyBorder="1" applyAlignment="1">
      <alignment horizontal="center" vertical="center" wrapText="1"/>
    </xf>
    <xf numFmtId="0" fontId="0" fillId="0" borderId="8" xfId="0" applyBorder="1" applyAlignment="1">
      <alignment horizontal="left" vertical="center"/>
    </xf>
    <xf numFmtId="0" fontId="26" fillId="6" borderId="19" xfId="0" quotePrefix="1" applyFont="1" applyFill="1" applyBorder="1" applyAlignment="1">
      <alignment horizontal="center" vertical="center"/>
    </xf>
    <xf numFmtId="0" fontId="21" fillId="6" borderId="20" xfId="0" applyFont="1" applyFill="1" applyBorder="1" applyAlignment="1">
      <alignment horizontal="center" vertical="center" wrapText="1"/>
    </xf>
    <xf numFmtId="167" fontId="21" fillId="6" borderId="20" xfId="0" applyNumberFormat="1" applyFont="1" applyFill="1" applyBorder="1" applyAlignment="1">
      <alignment horizontal="center" vertical="center" wrapText="1"/>
    </xf>
    <xf numFmtId="0" fontId="12" fillId="4" borderId="24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left" vertical="center" wrapText="1"/>
    </xf>
    <xf numFmtId="165" fontId="12" fillId="4" borderId="8" xfId="0" applyNumberFormat="1" applyFont="1" applyFill="1" applyBorder="1" applyAlignment="1">
      <alignment horizontal="center" vertical="center" wrapText="1"/>
    </xf>
    <xf numFmtId="165" fontId="12" fillId="4" borderId="8" xfId="0" applyNumberFormat="1" applyFont="1" applyFill="1" applyBorder="1" applyAlignment="1">
      <alignment horizontal="center" vertical="center"/>
    </xf>
    <xf numFmtId="165" fontId="12" fillId="4" borderId="11" xfId="0" applyNumberFormat="1" applyFont="1" applyFill="1" applyBorder="1" applyAlignment="1">
      <alignment horizontal="center" vertical="center"/>
    </xf>
    <xf numFmtId="168" fontId="12" fillId="4" borderId="41" xfId="1" applyNumberFormat="1" applyFont="1" applyFill="1" applyBorder="1" applyAlignment="1">
      <alignment horizontal="center" vertical="center" wrapText="1"/>
    </xf>
    <xf numFmtId="167" fontId="21" fillId="6" borderId="40" xfId="0" applyNumberFormat="1" applyFont="1" applyFill="1" applyBorder="1" applyAlignment="1">
      <alignment horizontal="center" vertical="center" wrapText="1"/>
    </xf>
    <xf numFmtId="165" fontId="5" fillId="9" borderId="3" xfId="4" applyNumberFormat="1" applyFont="1" applyFill="1" applyBorder="1" applyAlignment="1">
      <alignment horizontal="center" vertical="center"/>
    </xf>
    <xf numFmtId="2" fontId="5" fillId="9" borderId="3" xfId="4" applyNumberFormat="1" applyFont="1" applyFill="1" applyBorder="1" applyAlignment="1">
      <alignment horizontal="right" vertical="center"/>
    </xf>
    <xf numFmtId="168" fontId="4" fillId="9" borderId="3" xfId="1" applyNumberFormat="1" applyFont="1" applyFill="1" applyBorder="1" applyAlignment="1">
      <alignment horizontal="center" vertical="center" wrapText="1"/>
    </xf>
    <xf numFmtId="167" fontId="4" fillId="9" borderId="41" xfId="1" applyNumberFormat="1" applyFont="1" applyFill="1" applyBorder="1" applyAlignment="1">
      <alignment horizontal="center" vertical="center" wrapText="1"/>
    </xf>
    <xf numFmtId="167" fontId="4" fillId="9" borderId="42" xfId="1" applyNumberFormat="1" applyFont="1" applyFill="1" applyBorder="1" applyAlignment="1">
      <alignment horizontal="center" vertical="center" wrapText="1"/>
    </xf>
    <xf numFmtId="167" fontId="4" fillId="9" borderId="73" xfId="1" applyNumberFormat="1" applyFont="1" applyFill="1" applyBorder="1" applyAlignment="1">
      <alignment horizontal="center" vertical="center" wrapText="1"/>
    </xf>
    <xf numFmtId="0" fontId="5" fillId="9" borderId="1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  <xf numFmtId="0" fontId="5" fillId="9" borderId="2" xfId="0" applyFont="1" applyFill="1" applyBorder="1" applyAlignment="1">
      <alignment horizontal="center" vertical="center"/>
    </xf>
    <xf numFmtId="1" fontId="0" fillId="0" borderId="12" xfId="0" applyNumberFormat="1" applyBorder="1" applyAlignment="1">
      <alignment horizontal="center" vertical="center"/>
    </xf>
    <xf numFmtId="0" fontId="4" fillId="7" borderId="8" xfId="5" applyFont="1" applyFill="1" applyBorder="1" applyAlignment="1">
      <alignment horizontal="left" vertical="center"/>
    </xf>
    <xf numFmtId="0" fontId="0" fillId="0" borderId="8" xfId="0" applyBorder="1"/>
    <xf numFmtId="169" fontId="15" fillId="0" borderId="69" xfId="0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vertical="center"/>
    </xf>
    <xf numFmtId="167" fontId="0" fillId="8" borderId="34" xfId="0" applyNumberFormat="1" applyFill="1" applyBorder="1" applyAlignment="1">
      <alignment vertical="center"/>
    </xf>
    <xf numFmtId="0" fontId="14" fillId="0" borderId="4" xfId="0" applyFont="1" applyBorder="1" applyAlignment="1">
      <alignment horizontal="center" vertical="center" wrapText="1"/>
    </xf>
    <xf numFmtId="0" fontId="10" fillId="0" borderId="30" xfId="0" applyFont="1" applyBorder="1" applyAlignment="1">
      <alignment vertical="center"/>
    </xf>
    <xf numFmtId="0" fontId="1" fillId="0" borderId="0" xfId="0" applyFont="1" applyAlignment="1">
      <alignment vertical="center"/>
    </xf>
    <xf numFmtId="1" fontId="5" fillId="0" borderId="8" xfId="0" applyNumberFormat="1" applyFont="1" applyBorder="1" applyAlignment="1">
      <alignment horizontal="center" vertical="center"/>
    </xf>
    <xf numFmtId="0" fontId="28" fillId="0" borderId="8" xfId="0" applyFont="1" applyBorder="1" applyAlignment="1">
      <alignment horizontal="center" vertical="center" wrapText="1"/>
    </xf>
    <xf numFmtId="0" fontId="28" fillId="0" borderId="8" xfId="0" applyFont="1" applyBorder="1" applyAlignment="1">
      <alignment horizontal="center" vertical="center"/>
    </xf>
    <xf numFmtId="0" fontId="0" fillId="0" borderId="10" xfId="0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5" fillId="2" borderId="8" xfId="0" applyFont="1" applyFill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11" fillId="0" borderId="8" xfId="0" applyFont="1" applyBorder="1" applyAlignment="1">
      <alignment vertical="center" wrapText="1"/>
    </xf>
    <xf numFmtId="0" fontId="27" fillId="0" borderId="8" xfId="0" applyFont="1" applyBorder="1" applyAlignment="1">
      <alignment vertical="center"/>
    </xf>
    <xf numFmtId="0" fontId="3" fillId="0" borderId="7" xfId="0" applyFont="1" applyBorder="1" applyAlignment="1">
      <alignment vertical="center" wrapText="1"/>
    </xf>
    <xf numFmtId="0" fontId="5" fillId="11" borderId="8" xfId="0" applyFont="1" applyFill="1" applyBorder="1" applyAlignment="1">
      <alignment horizontal="left" vertical="center" wrapText="1"/>
    </xf>
    <xf numFmtId="0" fontId="7" fillId="0" borderId="8" xfId="0" applyFont="1" applyBorder="1" applyAlignment="1">
      <alignment wrapText="1"/>
    </xf>
    <xf numFmtId="0" fontId="28" fillId="0" borderId="8" xfId="0" applyFont="1" applyBorder="1" applyAlignment="1">
      <alignment vertical="center" wrapText="1"/>
    </xf>
    <xf numFmtId="0" fontId="28" fillId="12" borderId="8" xfId="0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right"/>
    </xf>
    <xf numFmtId="172" fontId="29" fillId="0" borderId="8" xfId="6" applyNumberFormat="1" applyFont="1" applyFill="1" applyBorder="1" applyAlignment="1">
      <alignment horizontal="center" vertical="center"/>
    </xf>
    <xf numFmtId="0" fontId="30" fillId="0" borderId="8" xfId="0" applyFont="1" applyBorder="1" applyAlignment="1">
      <alignment wrapText="1"/>
    </xf>
    <xf numFmtId="0" fontId="5" fillId="0" borderId="10" xfId="0" applyFont="1" applyBorder="1" applyAlignment="1">
      <alignment vertical="center"/>
    </xf>
    <xf numFmtId="0" fontId="5" fillId="0" borderId="13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170" fontId="0" fillId="0" borderId="0" xfId="0" applyNumberFormat="1" applyAlignment="1">
      <alignment vertical="center"/>
    </xf>
    <xf numFmtId="9" fontId="6" fillId="0" borderId="0" xfId="2" applyFont="1" applyAlignment="1">
      <alignment vertical="center"/>
    </xf>
    <xf numFmtId="169" fontId="15" fillId="0" borderId="25" xfId="0" applyNumberFormat="1" applyFont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/>
    </xf>
    <xf numFmtId="9" fontId="3" fillId="2" borderId="0" xfId="2" applyFont="1" applyFill="1" applyBorder="1" applyAlignment="1">
      <alignment horizontal="center" vertical="center"/>
    </xf>
    <xf numFmtId="1" fontId="3" fillId="2" borderId="0" xfId="3" applyNumberFormat="1" applyFont="1" applyFill="1" applyAlignment="1">
      <alignment horizontal="center" vertical="center"/>
    </xf>
    <xf numFmtId="170" fontId="3" fillId="2" borderId="0" xfId="1" applyNumberFormat="1" applyFont="1" applyFill="1" applyBorder="1" applyAlignment="1">
      <alignment horizontal="center" vertical="center"/>
    </xf>
    <xf numFmtId="170" fontId="0" fillId="2" borderId="0" xfId="1" applyNumberFormat="1" applyFont="1" applyFill="1" applyBorder="1" applyAlignment="1">
      <alignment horizontal="center" vertical="center"/>
    </xf>
    <xf numFmtId="2" fontId="0" fillId="2" borderId="0" xfId="4" applyNumberFormat="1" applyFont="1" applyFill="1" applyBorder="1" applyAlignment="1">
      <alignment horizontal="center" vertical="center"/>
    </xf>
    <xf numFmtId="0" fontId="0" fillId="0" borderId="18" xfId="0" applyBorder="1" applyAlignment="1">
      <alignment vertical="center"/>
    </xf>
    <xf numFmtId="165" fontId="6" fillId="0" borderId="0" xfId="0" applyNumberFormat="1" applyFont="1" applyAlignment="1">
      <alignment vertical="center"/>
    </xf>
    <xf numFmtId="165" fontId="1" fillId="0" borderId="0" xfId="0" applyNumberFormat="1" applyFont="1" applyAlignment="1">
      <alignment vertical="center"/>
    </xf>
    <xf numFmtId="9" fontId="29" fillId="0" borderId="8" xfId="2" applyFont="1" applyFill="1" applyBorder="1" applyAlignment="1">
      <alignment horizontal="right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24" fillId="4" borderId="1" xfId="0" applyFont="1" applyFill="1" applyBorder="1" applyAlignment="1">
      <alignment horizontal="center" vertical="center"/>
    </xf>
    <xf numFmtId="0" fontId="24" fillId="4" borderId="4" xfId="0" applyFont="1" applyFill="1" applyBorder="1" applyAlignment="1">
      <alignment horizontal="center" vertical="center"/>
    </xf>
    <xf numFmtId="0" fontId="24" fillId="4" borderId="2" xfId="0" applyFont="1" applyFill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24" fillId="6" borderId="1" xfId="0" applyFont="1" applyFill="1" applyBorder="1" applyAlignment="1">
      <alignment horizontal="center" vertical="center"/>
    </xf>
    <xf numFmtId="0" fontId="24" fillId="6" borderId="4" xfId="0" applyFont="1" applyFill="1" applyBorder="1" applyAlignment="1">
      <alignment horizontal="center" vertical="center"/>
    </xf>
    <xf numFmtId="0" fontId="24" fillId="6" borderId="2" xfId="0" applyFont="1" applyFill="1" applyBorder="1" applyAlignment="1">
      <alignment horizontal="center" vertical="center"/>
    </xf>
    <xf numFmtId="0" fontId="0" fillId="0" borderId="20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5" fillId="0" borderId="10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7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67" fontId="5" fillId="2" borderId="32" xfId="1" applyNumberFormat="1" applyFont="1" applyFill="1" applyBorder="1" applyAlignment="1">
      <alignment horizontal="center" vertical="center"/>
    </xf>
    <xf numFmtId="167" fontId="5" fillId="2" borderId="30" xfId="1" applyNumberFormat="1" applyFont="1" applyFill="1" applyBorder="1" applyAlignment="1">
      <alignment horizontal="center" vertical="center"/>
    </xf>
    <xf numFmtId="0" fontId="20" fillId="6" borderId="32" xfId="0" applyFont="1" applyFill="1" applyBorder="1" applyAlignment="1">
      <alignment horizontal="center" vertical="center" wrapText="1"/>
    </xf>
    <xf numFmtId="0" fontId="20" fillId="6" borderId="30" xfId="0" applyFont="1" applyFill="1" applyBorder="1" applyAlignment="1">
      <alignment horizontal="center" vertical="center" wrapText="1"/>
    </xf>
    <xf numFmtId="167" fontId="5" fillId="2" borderId="1" xfId="1" applyNumberFormat="1" applyFont="1" applyFill="1" applyBorder="1" applyAlignment="1">
      <alignment horizontal="center" vertical="center"/>
    </xf>
    <xf numFmtId="167" fontId="5" fillId="2" borderId="2" xfId="1" applyNumberFormat="1" applyFont="1" applyFill="1" applyBorder="1" applyAlignment="1">
      <alignment horizontal="center" vertical="center"/>
    </xf>
    <xf numFmtId="167" fontId="12" fillId="6" borderId="62" xfId="1" applyNumberFormat="1" applyFont="1" applyFill="1" applyBorder="1" applyAlignment="1">
      <alignment horizontal="center" vertical="center"/>
    </xf>
    <xf numFmtId="167" fontId="12" fillId="6" borderId="63" xfId="1" applyNumberFormat="1" applyFont="1" applyFill="1" applyBorder="1" applyAlignment="1">
      <alignment horizontal="center" vertical="center"/>
    </xf>
    <xf numFmtId="0" fontId="0" fillId="2" borderId="0" xfId="0" applyFill="1" applyAlignment="1">
      <alignment horizontal="left" vertical="center" wrapText="1"/>
    </xf>
    <xf numFmtId="0" fontId="0" fillId="2" borderId="18" xfId="0" applyFill="1" applyBorder="1" applyAlignment="1">
      <alignment horizontal="left" vertical="center" wrapText="1"/>
    </xf>
    <xf numFmtId="0" fontId="16" fillId="2" borderId="0" xfId="0" applyFont="1" applyFill="1" applyAlignment="1">
      <alignment horizontal="center" vertical="center" wrapText="1"/>
    </xf>
    <xf numFmtId="167" fontId="4" fillId="9" borderId="1" xfId="1" applyNumberFormat="1" applyFont="1" applyFill="1" applyBorder="1" applyAlignment="1">
      <alignment horizontal="right" vertical="center"/>
    </xf>
    <xf numFmtId="167" fontId="4" fillId="9" borderId="4" xfId="1" applyNumberFormat="1" applyFont="1" applyFill="1" applyBorder="1" applyAlignment="1">
      <alignment horizontal="right" vertical="center"/>
    </xf>
    <xf numFmtId="167" fontId="4" fillId="9" borderId="2" xfId="1" applyNumberFormat="1" applyFont="1" applyFill="1" applyBorder="1" applyAlignment="1">
      <alignment horizontal="right" vertical="center"/>
    </xf>
    <xf numFmtId="0" fontId="19" fillId="9" borderId="32" xfId="0" applyFont="1" applyFill="1" applyBorder="1" applyAlignment="1">
      <alignment horizontal="center" vertical="center" wrapText="1"/>
    </xf>
    <xf numFmtId="0" fontId="19" fillId="9" borderId="30" xfId="0" applyFont="1" applyFill="1" applyBorder="1" applyAlignment="1">
      <alignment horizontal="center" vertical="center" wrapText="1"/>
    </xf>
    <xf numFmtId="165" fontId="19" fillId="9" borderId="1" xfId="0" applyNumberFormat="1" applyFont="1" applyFill="1" applyBorder="1" applyAlignment="1">
      <alignment horizontal="center" vertical="center" wrapText="1"/>
    </xf>
    <xf numFmtId="165" fontId="19" fillId="9" borderId="4" xfId="0" applyNumberFormat="1" applyFont="1" applyFill="1" applyBorder="1" applyAlignment="1">
      <alignment horizontal="center" vertical="center" wrapText="1"/>
    </xf>
    <xf numFmtId="165" fontId="19" fillId="9" borderId="2" xfId="0" applyNumberFormat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165" fontId="6" fillId="10" borderId="1" xfId="0" applyNumberFormat="1" applyFont="1" applyFill="1" applyBorder="1" applyAlignment="1">
      <alignment horizontal="center" vertical="center"/>
    </xf>
    <xf numFmtId="165" fontId="6" fillId="10" borderId="4" xfId="0" applyNumberFormat="1" applyFont="1" applyFill="1" applyBorder="1" applyAlignment="1">
      <alignment horizontal="center" vertical="center"/>
    </xf>
    <xf numFmtId="165" fontId="6" fillId="10" borderId="2" xfId="0" applyNumberFormat="1" applyFont="1" applyFill="1" applyBorder="1" applyAlignment="1">
      <alignment horizontal="center" vertical="center"/>
    </xf>
    <xf numFmtId="165" fontId="6" fillId="5" borderId="1" xfId="0" applyNumberFormat="1" applyFont="1" applyFill="1" applyBorder="1" applyAlignment="1">
      <alignment horizontal="center" vertical="center"/>
    </xf>
    <xf numFmtId="165" fontId="6" fillId="5" borderId="4" xfId="0" applyNumberFormat="1" applyFont="1" applyFill="1" applyBorder="1" applyAlignment="1">
      <alignment horizontal="center" vertical="center"/>
    </xf>
    <xf numFmtId="165" fontId="6" fillId="5" borderId="2" xfId="0" applyNumberFormat="1" applyFont="1" applyFill="1" applyBorder="1" applyAlignment="1">
      <alignment horizontal="center" vertical="center"/>
    </xf>
    <xf numFmtId="165" fontId="20" fillId="6" borderId="32" xfId="0" applyNumberFormat="1" applyFont="1" applyFill="1" applyBorder="1" applyAlignment="1">
      <alignment horizontal="center" vertical="center" wrapText="1"/>
    </xf>
    <xf numFmtId="165" fontId="20" fillId="6" borderId="33" xfId="0" applyNumberFormat="1" applyFont="1" applyFill="1" applyBorder="1" applyAlignment="1">
      <alignment horizontal="center" vertical="center" wrapText="1"/>
    </xf>
    <xf numFmtId="165" fontId="20" fillId="6" borderId="30" xfId="0" applyNumberFormat="1" applyFont="1" applyFill="1" applyBorder="1" applyAlignment="1">
      <alignment horizontal="center" vertical="center" wrapText="1"/>
    </xf>
    <xf numFmtId="0" fontId="14" fillId="0" borderId="32" xfId="0" applyFont="1" applyBorder="1" applyAlignment="1">
      <alignment horizontal="left" wrapText="1"/>
    </xf>
    <xf numFmtId="0" fontId="14" fillId="0" borderId="33" xfId="0" applyFont="1" applyBorder="1" applyAlignment="1">
      <alignment horizontal="left" wrapText="1"/>
    </xf>
    <xf numFmtId="0" fontId="14" fillId="0" borderId="30" xfId="0" applyFont="1" applyBorder="1" applyAlignment="1">
      <alignment horizontal="left" wrapText="1"/>
    </xf>
    <xf numFmtId="0" fontId="14" fillId="0" borderId="17" xfId="0" applyFont="1" applyBorder="1" applyAlignment="1">
      <alignment horizontal="left" wrapText="1"/>
    </xf>
    <xf numFmtId="0" fontId="14" fillId="0" borderId="0" xfId="0" applyFont="1" applyAlignment="1">
      <alignment horizontal="left" wrapText="1"/>
    </xf>
    <xf numFmtId="0" fontId="14" fillId="0" borderId="18" xfId="0" applyFont="1" applyBorder="1" applyAlignment="1">
      <alignment horizontal="left" wrapText="1"/>
    </xf>
    <xf numFmtId="0" fontId="14" fillId="0" borderId="14" xfId="0" applyFont="1" applyBorder="1" applyAlignment="1">
      <alignment horizontal="left" wrapText="1"/>
    </xf>
    <xf numFmtId="0" fontId="14" fillId="0" borderId="15" xfId="0" applyFont="1" applyBorder="1" applyAlignment="1">
      <alignment horizontal="left" wrapText="1"/>
    </xf>
    <xf numFmtId="0" fontId="14" fillId="0" borderId="22" xfId="0" applyFont="1" applyBorder="1" applyAlignment="1">
      <alignment horizontal="left" wrapText="1"/>
    </xf>
    <xf numFmtId="166" fontId="0" fillId="2" borderId="15" xfId="4" applyNumberFormat="1" applyFont="1" applyFill="1" applyBorder="1" applyAlignment="1">
      <alignment horizontal="center" vertical="center"/>
    </xf>
    <xf numFmtId="166" fontId="0" fillId="2" borderId="22" xfId="4" applyNumberFormat="1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9" fillId="9" borderId="1" xfId="0" applyFont="1" applyFill="1" applyBorder="1" applyAlignment="1">
      <alignment horizontal="center" vertical="center" wrapText="1"/>
    </xf>
    <xf numFmtId="0" fontId="19" fillId="9" borderId="2" xfId="0" applyFont="1" applyFill="1" applyBorder="1" applyAlignment="1">
      <alignment horizontal="center" vertical="center" wrapText="1"/>
    </xf>
    <xf numFmtId="171" fontId="14" fillId="0" borderId="33" xfId="0" applyNumberFormat="1" applyFont="1" applyBorder="1" applyAlignment="1">
      <alignment horizontal="center" vertical="center" wrapText="1"/>
    </xf>
    <xf numFmtId="171" fontId="14" fillId="0" borderId="30" xfId="0" applyNumberFormat="1" applyFont="1" applyBorder="1" applyAlignment="1">
      <alignment horizontal="center" vertical="center" wrapText="1"/>
    </xf>
    <xf numFmtId="0" fontId="12" fillId="6" borderId="1" xfId="3" applyFont="1" applyFill="1" applyBorder="1" applyAlignment="1">
      <alignment horizontal="center" vertical="center"/>
    </xf>
    <xf numFmtId="0" fontId="12" fillId="6" borderId="2" xfId="3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</cellXfs>
  <cellStyles count="7">
    <cellStyle name="Comma [0]" xfId="4" builtinId="6"/>
    <cellStyle name="Comma 2 2" xfId="6" xr:uid="{63482D3D-9A54-4993-AD59-0DD21A1C8111}"/>
    <cellStyle name="Currency" xfId="1" builtinId="4"/>
    <cellStyle name="Normal" xfId="0" builtinId="0"/>
    <cellStyle name="Normal 2" xfId="3" xr:uid="{00000000-0005-0000-0000-000003000000}"/>
    <cellStyle name="Note 2" xfId="5" xr:uid="{00000000-0005-0000-0000-000004000000}"/>
    <cellStyle name="Percent" xfId="2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A50021"/>
      <color rgb="FFCC0000"/>
      <color rgb="FF09BC9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539850</xdr:colOff>
      <xdr:row>43</xdr:row>
      <xdr:rowOff>218849</xdr:rowOff>
    </xdr:from>
    <xdr:to>
      <xdr:col>11</xdr:col>
      <xdr:colOff>267367</xdr:colOff>
      <xdr:row>53</xdr:row>
      <xdr:rowOff>35299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4233D22-EAC9-5DB4-5D43-F7A208798A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0186965" y="13932407"/>
          <a:ext cx="4038190" cy="285712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72950</xdr:rowOff>
    </xdr:from>
    <xdr:to>
      <xdr:col>3</xdr:col>
      <xdr:colOff>901700</xdr:colOff>
      <xdr:row>4</xdr:row>
      <xdr:rowOff>240012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23F8FE8-F631-A0F7-951F-2FF142DE9A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76200" y="72950"/>
          <a:ext cx="3467100" cy="245306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222250</xdr:colOff>
      <xdr:row>0</xdr:row>
      <xdr:rowOff>207538</xdr:rowOff>
    </xdr:from>
    <xdr:to>
      <xdr:col>3</xdr:col>
      <xdr:colOff>936625</xdr:colOff>
      <xdr:row>4</xdr:row>
      <xdr:rowOff>302715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66A1C03-94A7-3A00-CDBD-7CEFC23C5C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22250" y="207538"/>
          <a:ext cx="3365500" cy="238117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igital%20Nexus\Desktop\Takeoff-%20226%20Mangolia%20Street.xlsx" TargetMode="External"/><Relationship Id="rId1" Type="http://schemas.openxmlformats.org/officeDocument/2006/relationships/externalLinkPath" Target="/Users/Digital%20Nexus/Desktop/Takeoff-%20226%20Mangolia%20Stree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id Recap &amp; Summary"/>
      <sheetName val="Worksheet"/>
      <sheetName val="Lumber Breakdown"/>
    </sheetNames>
    <sheetDataSet>
      <sheetData sheetId="0">
        <row r="43">
          <cell r="J43">
            <v>100</v>
          </cell>
        </row>
      </sheetData>
      <sheetData sheetId="1"/>
      <sheetData sheetId="2">
        <row r="43">
          <cell r="E43" t="str">
            <v>WOOD, PLASTICS, AND COMPOSITES</v>
          </cell>
          <cell r="I43" t="str">
            <v/>
          </cell>
        </row>
        <row r="44">
          <cell r="E44" t="str">
            <v>WOOD FRAMING</v>
          </cell>
          <cell r="I44" t="str">
            <v/>
          </cell>
        </row>
        <row r="45">
          <cell r="E45" t="str">
            <v>FIRST FLOOR FRAMING</v>
          </cell>
        </row>
        <row r="46">
          <cell r="E46" t="str">
            <v>WALLS:</v>
          </cell>
        </row>
        <row r="47">
          <cell r="E47" t="str">
            <v>2x6 Wood Stud Wall @ 16" O.C</v>
          </cell>
        </row>
        <row r="48">
          <cell r="E48" t="str">
            <v>2x6 SPF # Stud Grade - 104-5/8"</v>
          </cell>
          <cell r="I48">
            <v>158.80263157894737</v>
          </cell>
        </row>
        <row r="49">
          <cell r="E49" t="str">
            <v>2x6 SPF # Stud Grade - 16'</v>
          </cell>
          <cell r="I49">
            <v>26.400937500000001</v>
          </cell>
        </row>
        <row r="50">
          <cell r="E50" t="str">
            <v>2x6 SPF # Stud Grade - 16'</v>
          </cell>
          <cell r="I50">
            <v>13.200468750000001</v>
          </cell>
        </row>
        <row r="51">
          <cell r="E51" t="str">
            <v>2x6 P.T SPF # Stud Grade - 16'</v>
          </cell>
          <cell r="I51">
            <v>13.200468750000001</v>
          </cell>
        </row>
        <row r="52">
          <cell r="E52" t="str">
            <v>5/8" Zip Panel Sheathing (4'x8')</v>
          </cell>
          <cell r="I52">
            <v>59.402109375000002</v>
          </cell>
        </row>
        <row r="54">
          <cell r="E54" t="str">
            <v>2x4 Wood Stud Wall @ 16" O.C</v>
          </cell>
        </row>
        <row r="55">
          <cell r="E55" t="str">
            <v>2x4 SPF # Stud Grade - 104-5/8"</v>
          </cell>
          <cell r="I55">
            <v>227.96052631578945</v>
          </cell>
        </row>
        <row r="56">
          <cell r="E56" t="str">
            <v>2x4 SPF # Stud Grade - 16'</v>
          </cell>
          <cell r="I56">
            <v>37.8984375</v>
          </cell>
        </row>
        <row r="57">
          <cell r="E57" t="str">
            <v>2x4 SPF # Stud Grade - 16'</v>
          </cell>
          <cell r="I57">
            <v>18.94921875</v>
          </cell>
        </row>
        <row r="58">
          <cell r="E58" t="str">
            <v>2x4 P.T SPF # Stud Grade - 16'</v>
          </cell>
          <cell r="I58">
            <v>18.94921875</v>
          </cell>
        </row>
        <row r="60">
          <cell r="E60" t="str">
            <v>2x4 Wood Stud Wall @ 16" O.C</v>
          </cell>
        </row>
        <row r="61">
          <cell r="E61" t="str">
            <v>2x4 SPF # Stud Grade - 92-5/8"</v>
          </cell>
          <cell r="I61">
            <v>9.7578947368421041</v>
          </cell>
        </row>
        <row r="62">
          <cell r="E62" t="str">
            <v>2x4 SPF # Stud Grade - 16'</v>
          </cell>
          <cell r="I62">
            <v>1.62225</v>
          </cell>
        </row>
        <row r="63">
          <cell r="E63" t="str">
            <v>2x4 SPF # Stud Grade - 16'</v>
          </cell>
          <cell r="I63">
            <v>0.81112499999999998</v>
          </cell>
        </row>
        <row r="64">
          <cell r="E64" t="str">
            <v>2x4 P.T SPF # Stud Grade - 16'</v>
          </cell>
          <cell r="I64">
            <v>0.81112499999999998</v>
          </cell>
        </row>
        <row r="66">
          <cell r="E66" t="str">
            <v>EXTRA STUD:</v>
          </cell>
        </row>
        <row r="67">
          <cell r="E67" t="str">
            <v>2x6 SPF # Stud Grade - 104-5/8"</v>
          </cell>
          <cell r="I67">
            <v>84</v>
          </cell>
        </row>
        <row r="68">
          <cell r="E68" t="str">
            <v>2x6 SPF # Stud Grade - 92-5/8"</v>
          </cell>
          <cell r="I68">
            <v>33.6</v>
          </cell>
        </row>
        <row r="69">
          <cell r="E69" t="str">
            <v>2x4 SPF # Stud Grade - 104-5/8"</v>
          </cell>
          <cell r="I69">
            <v>90.3</v>
          </cell>
        </row>
        <row r="70">
          <cell r="E70" t="str">
            <v>2x4 SPF # Stud Grade - 92-5/8"</v>
          </cell>
          <cell r="I70">
            <v>37.799999999999997</v>
          </cell>
        </row>
        <row r="72">
          <cell r="E72" t="str">
            <v>BEAMS:</v>
          </cell>
        </row>
        <row r="73">
          <cell r="E73" t="str">
            <v>1-3/4" X 14" LVL - 18'</v>
          </cell>
          <cell r="I73">
            <v>2</v>
          </cell>
        </row>
        <row r="75">
          <cell r="E75" t="str">
            <v>1-3/4" x 9-1/4" LVL - 10'</v>
          </cell>
          <cell r="I75">
            <v>8</v>
          </cell>
        </row>
        <row r="76">
          <cell r="E76" t="str">
            <v>1-3/4" x 9-1/4" LVL - 14'</v>
          </cell>
          <cell r="I76">
            <v>2</v>
          </cell>
        </row>
        <row r="78">
          <cell r="E78" t="str">
            <v>HEADERS:</v>
          </cell>
        </row>
        <row r="79">
          <cell r="E79" t="str">
            <v>2x10 SPF #1 - 8'</v>
          </cell>
          <cell r="I79">
            <v>15</v>
          </cell>
        </row>
        <row r="81">
          <cell r="E81" t="str">
            <v>2x8 SPF #1 - 8'</v>
          </cell>
          <cell r="I81">
            <v>14</v>
          </cell>
        </row>
        <row r="83">
          <cell r="E83" t="str">
            <v>WOOD POST:</v>
          </cell>
        </row>
        <row r="84">
          <cell r="E84" t="str">
            <v>4x6 SPF #1 - 10'</v>
          </cell>
          <cell r="I84">
            <v>19</v>
          </cell>
        </row>
        <row r="86">
          <cell r="E86" t="str">
            <v>SILL SEALER</v>
          </cell>
        </row>
        <row r="87">
          <cell r="E87" t="str">
            <v>5.5" Sill Sealer (50 LF/Roll)</v>
          </cell>
          <cell r="I87">
            <v>4.0229999999999997</v>
          </cell>
        </row>
        <row r="89">
          <cell r="E89" t="str">
            <v>SECOND FLOOR FRAMING</v>
          </cell>
        </row>
        <row r="90">
          <cell r="E90" t="str">
            <v>WALLS:</v>
          </cell>
        </row>
        <row r="91">
          <cell r="E91" t="str">
            <v>2x6 Wood Stud Wall @ 16" O.C (9'-0" H)</v>
          </cell>
        </row>
        <row r="92">
          <cell r="E92" t="str">
            <v>2x6 SPF # Stud Grade - 104-5/8"</v>
          </cell>
          <cell r="I92">
            <v>196.05</v>
          </cell>
        </row>
        <row r="93">
          <cell r="E93" t="str">
            <v>2x6 SPF # Stud Grade - 16'</v>
          </cell>
          <cell r="I93">
            <v>32.593312500000003</v>
          </cell>
        </row>
        <row r="94">
          <cell r="E94" t="str">
            <v>2x6 SPF # Stud Grade - 16'</v>
          </cell>
          <cell r="I94">
            <v>16.296656250000002</v>
          </cell>
        </row>
        <row r="95">
          <cell r="E95" t="str">
            <v>5/8" Zip Panel Sheathing (4'x8')</v>
          </cell>
          <cell r="I95">
            <v>73.334953125000013</v>
          </cell>
        </row>
        <row r="97">
          <cell r="E97" t="str">
            <v>2x4 Wood Stud Wall @ 16" O.C (9'-0" H)</v>
          </cell>
        </row>
        <row r="98">
          <cell r="E98" t="str">
            <v>2x4 SPF # Stud Grade - 104-5/8"</v>
          </cell>
          <cell r="I98">
            <v>229.11315789473682</v>
          </cell>
        </row>
        <row r="99">
          <cell r="E99" t="str">
            <v>2x4 SPF # Stud Grade - 16'</v>
          </cell>
          <cell r="I99">
            <v>38.090062499999995</v>
          </cell>
        </row>
        <row r="100">
          <cell r="E100" t="str">
            <v>2x4 SPF # Stud Grade - 16'</v>
          </cell>
          <cell r="I100">
            <v>19.045031249999997</v>
          </cell>
        </row>
        <row r="102">
          <cell r="E102" t="str">
            <v>EXTRA STUD:</v>
          </cell>
        </row>
        <row r="103">
          <cell r="E103" t="str">
            <v>2x6 SPF # Stud Grade - 104-5/8"</v>
          </cell>
          <cell r="I103">
            <v>156.44999999999999</v>
          </cell>
        </row>
        <row r="104">
          <cell r="E104" t="str">
            <v>2x6 SPF # Stud Grade - 92-5/8"</v>
          </cell>
          <cell r="I104">
            <v>55.65</v>
          </cell>
        </row>
        <row r="105">
          <cell r="E105" t="str">
            <v>2x4 SPF # Stud Grade - 104-5/8"</v>
          </cell>
          <cell r="I105">
            <v>57.75</v>
          </cell>
        </row>
        <row r="106">
          <cell r="E106" t="str">
            <v>2x4 SPF # Stud Grade - 92-5/8"</v>
          </cell>
          <cell r="I106">
            <v>5.25</v>
          </cell>
        </row>
        <row r="108">
          <cell r="E108" t="str">
            <v>BEAMS:</v>
          </cell>
        </row>
        <row r="109">
          <cell r="E109" t="str">
            <v>1-3/4" x 14" LVL - 8'</v>
          </cell>
          <cell r="I109">
            <v>2</v>
          </cell>
        </row>
        <row r="110">
          <cell r="E110" t="str">
            <v>1-3/4" x 14" LVL - 10'</v>
          </cell>
          <cell r="I110">
            <v>54</v>
          </cell>
        </row>
        <row r="111">
          <cell r="E111" t="str">
            <v>1-3/4" x 14" LVL - 12'</v>
          </cell>
          <cell r="I111">
            <v>1</v>
          </cell>
        </row>
        <row r="112">
          <cell r="E112" t="str">
            <v>1-3/4" x 14" LVL - 16'</v>
          </cell>
          <cell r="I112">
            <v>14</v>
          </cell>
        </row>
        <row r="113">
          <cell r="E113" t="str">
            <v>1-3/4" x 14" LVL - 18'</v>
          </cell>
          <cell r="I113">
            <v>12</v>
          </cell>
        </row>
        <row r="114">
          <cell r="E114" t="str">
            <v>1-3/4" x 14" LVL - 20'</v>
          </cell>
          <cell r="I114">
            <v>10</v>
          </cell>
        </row>
        <row r="115">
          <cell r="E115" t="str">
            <v>1-3/4" x 14" LVL - 22'</v>
          </cell>
          <cell r="I115">
            <v>2</v>
          </cell>
        </row>
        <row r="117">
          <cell r="E117" t="str">
            <v>HEADERS:</v>
          </cell>
        </row>
        <row r="118">
          <cell r="E118" t="str">
            <v>2x10 SPF #1 - 8'</v>
          </cell>
          <cell r="I118">
            <v>33</v>
          </cell>
        </row>
        <row r="119">
          <cell r="E119" t="str">
            <v>2x10 SPF #1 - 10'</v>
          </cell>
          <cell r="I119">
            <v>6</v>
          </cell>
        </row>
        <row r="120">
          <cell r="E120" t="str">
            <v>2x10 SPF #1 - 12'</v>
          </cell>
          <cell r="I120">
            <v>3</v>
          </cell>
        </row>
        <row r="122">
          <cell r="E122" t="str">
            <v>2x8 SPF #1 - 12'</v>
          </cell>
          <cell r="I122">
            <v>5</v>
          </cell>
        </row>
        <row r="124">
          <cell r="E124" t="str">
            <v>14" BCI 6000s-1.8 Floor Joist @ 16" O.C</v>
          </cell>
        </row>
        <row r="125">
          <cell r="E125" t="str">
            <v>14" BCI 6000s-1.8 - 8'</v>
          </cell>
          <cell r="I125">
            <v>33</v>
          </cell>
        </row>
        <row r="126">
          <cell r="E126" t="str">
            <v>14" BCI 6000s-1.8 - 10'</v>
          </cell>
          <cell r="I126">
            <v>35</v>
          </cell>
        </row>
        <row r="127">
          <cell r="E127" t="str">
            <v>14" BCI 6000s-1.8 - 12'</v>
          </cell>
          <cell r="I127">
            <v>3</v>
          </cell>
        </row>
        <row r="128">
          <cell r="E128" t="str">
            <v>14" BCI 6000s-1.8 - 14'</v>
          </cell>
          <cell r="I128">
            <v>1</v>
          </cell>
        </row>
        <row r="129">
          <cell r="E129" t="str">
            <v>14" BCI 6000s-1.8 - 16'</v>
          </cell>
          <cell r="I129">
            <v>31</v>
          </cell>
        </row>
        <row r="130">
          <cell r="E130" t="str">
            <v>14" BCI 6000s-1.8 - 18'</v>
          </cell>
          <cell r="I130">
            <v>10</v>
          </cell>
        </row>
        <row r="131">
          <cell r="E131" t="str">
            <v>14" BCI 6000s-1.8 - 20'</v>
          </cell>
          <cell r="I131">
            <v>28</v>
          </cell>
        </row>
        <row r="133">
          <cell r="E133" t="str">
            <v>RIM JOIST:</v>
          </cell>
        </row>
        <row r="134">
          <cell r="E134" t="str">
            <v>2x14 SPF # Stud Grade - 16'</v>
          </cell>
          <cell r="I134">
            <v>30.773125</v>
          </cell>
        </row>
        <row r="136">
          <cell r="E136" t="str">
            <v>WOOD BLOCKING:</v>
          </cell>
        </row>
        <row r="137">
          <cell r="E137" t="str">
            <v>2x4 SPF # Stud Grade - 16'</v>
          </cell>
          <cell r="I137">
            <v>20.438906249999999</v>
          </cell>
        </row>
        <row r="139">
          <cell r="E139" t="str">
            <v>THIRD FLOOR FRAMING</v>
          </cell>
        </row>
        <row r="140">
          <cell r="E140" t="str">
            <v>WALLS:</v>
          </cell>
        </row>
        <row r="141">
          <cell r="E141" t="str">
            <v>2x6 Wood Stud Wall @ 16" O.C</v>
          </cell>
        </row>
        <row r="142">
          <cell r="E142" t="str">
            <v>2x6 SPF # Stud Grade - 104-5/8"</v>
          </cell>
          <cell r="I142">
            <v>218.27368421052631</v>
          </cell>
        </row>
        <row r="143">
          <cell r="E143" t="str">
            <v>2x6 SPF # Stud Grade - 16'</v>
          </cell>
          <cell r="I143">
            <v>36.288000000000004</v>
          </cell>
        </row>
        <row r="144">
          <cell r="E144" t="str">
            <v>2x6 SPF # Stud Grade - 16'</v>
          </cell>
          <cell r="I144">
            <v>18.144000000000002</v>
          </cell>
        </row>
        <row r="145">
          <cell r="E145" t="str">
            <v>5/8" Zip Panel Sheathing (4'x8')</v>
          </cell>
          <cell r="I145">
            <v>81.64800000000001</v>
          </cell>
        </row>
        <row r="147">
          <cell r="E147" t="str">
            <v>2x6 Interior Wood Stud Wall @ 16" O.C</v>
          </cell>
        </row>
        <row r="148">
          <cell r="E148" t="str">
            <v>2x6 SPF # Stud Grade - 104-5/8"</v>
          </cell>
          <cell r="I148">
            <v>28.69736842105263</v>
          </cell>
        </row>
        <row r="149">
          <cell r="E149" t="str">
            <v>2x6 SPF # Stud Grade - 16'</v>
          </cell>
          <cell r="I149">
            <v>4.7709375000000005</v>
          </cell>
        </row>
        <row r="150">
          <cell r="E150" t="str">
            <v>2x6 SPF # Stud Grade - 16'</v>
          </cell>
          <cell r="I150">
            <v>2.3854687500000002</v>
          </cell>
        </row>
        <row r="152">
          <cell r="E152" t="str">
            <v>2x4 Wood Stud Wall @ 16" O.C (9'-0" H)</v>
          </cell>
        </row>
        <row r="153">
          <cell r="E153" t="str">
            <v>2x4 SPF # Stud Grade - 104-5/8"</v>
          </cell>
          <cell r="I153">
            <v>346.95000000000005</v>
          </cell>
        </row>
        <row r="154">
          <cell r="E154" t="str">
            <v>2x4 SPF # Stud Grade - 16'</v>
          </cell>
          <cell r="I154">
            <v>57.680437500000004</v>
          </cell>
        </row>
        <row r="155">
          <cell r="E155" t="str">
            <v>2x4 SPF # Stud Grade - 16'</v>
          </cell>
          <cell r="I155">
            <v>28.840218750000002</v>
          </cell>
        </row>
        <row r="157">
          <cell r="E157" t="str">
            <v>EXTRA STUD:</v>
          </cell>
        </row>
        <row r="158">
          <cell r="E158" t="str">
            <v>2x6 SPF # Stud Grade - 104-5/8"</v>
          </cell>
          <cell r="I158">
            <v>152.25</v>
          </cell>
        </row>
        <row r="159">
          <cell r="E159" t="str">
            <v>2x6 SPF # Stud Grade - 92-5/8"</v>
          </cell>
          <cell r="I159">
            <v>39.9</v>
          </cell>
        </row>
        <row r="160">
          <cell r="E160" t="str">
            <v>2x4 SPF # Stud Grade - 104-5/8"</v>
          </cell>
          <cell r="I160">
            <v>173.25</v>
          </cell>
        </row>
        <row r="161">
          <cell r="E161" t="str">
            <v>2x4 SPF # Stud Grade - 92-5/8"</v>
          </cell>
          <cell r="I161">
            <v>63</v>
          </cell>
        </row>
        <row r="163">
          <cell r="E163" t="str">
            <v>BEAMS:</v>
          </cell>
        </row>
        <row r="164">
          <cell r="E164" t="str">
            <v>1-3/4" x 14" LVL - 8'</v>
          </cell>
          <cell r="I164">
            <v>10</v>
          </cell>
        </row>
        <row r="165">
          <cell r="E165" t="str">
            <v>1-3/4" x 14" LVL - 10'</v>
          </cell>
          <cell r="I165">
            <v>30</v>
          </cell>
        </row>
        <row r="166">
          <cell r="E166" t="str">
            <v>1-3/4" x 14" LVL - 14'</v>
          </cell>
          <cell r="I166">
            <v>10</v>
          </cell>
        </row>
        <row r="167">
          <cell r="E167" t="str">
            <v>1-3/4" x 14" LVL - 16'</v>
          </cell>
          <cell r="I167">
            <v>8</v>
          </cell>
        </row>
        <row r="168">
          <cell r="E168" t="str">
            <v>1-3/4" x 14" LVL - 18'</v>
          </cell>
          <cell r="I168">
            <v>4</v>
          </cell>
        </row>
        <row r="170">
          <cell r="E170" t="str">
            <v>HEADERS:</v>
          </cell>
        </row>
        <row r="171">
          <cell r="E171" t="str">
            <v>2x10 SPF #1 - 8'</v>
          </cell>
          <cell r="I171">
            <v>40</v>
          </cell>
        </row>
        <row r="172">
          <cell r="E172" t="str">
            <v>2x10 SPF #1 - 12'</v>
          </cell>
          <cell r="I172">
            <v>2</v>
          </cell>
        </row>
        <row r="173">
          <cell r="E173" t="str">
            <v>2x10 SPF #1 - 16'</v>
          </cell>
          <cell r="I173">
            <v>1</v>
          </cell>
        </row>
        <row r="175">
          <cell r="E175" t="str">
            <v>2x8 SPF #1 - 12'</v>
          </cell>
          <cell r="I175">
            <v>4</v>
          </cell>
        </row>
        <row r="177">
          <cell r="E177" t="str">
            <v>WOOD POST:</v>
          </cell>
        </row>
        <row r="178">
          <cell r="E178" t="str">
            <v>4x6 SPF #1 - 10'</v>
          </cell>
          <cell r="I178">
            <v>18</v>
          </cell>
        </row>
        <row r="180">
          <cell r="E180" t="str">
            <v>14" BCI 6000s-1.8 FLOOR JOIST @ 16" O.C</v>
          </cell>
        </row>
        <row r="181">
          <cell r="E181" t="str">
            <v>14" BCI 6000s-1.8 - 8'</v>
          </cell>
          <cell r="I181">
            <v>35</v>
          </cell>
        </row>
        <row r="182">
          <cell r="E182" t="str">
            <v>14" BCI 6000s-1.8 - 10'</v>
          </cell>
          <cell r="I182">
            <v>40</v>
          </cell>
        </row>
        <row r="183">
          <cell r="E183" t="str">
            <v>14" BCI 6000s-1.8 - 12'</v>
          </cell>
          <cell r="I183">
            <v>3</v>
          </cell>
        </row>
        <row r="184">
          <cell r="E184" t="str">
            <v>14" BCI 6000s-1.8 - 16'</v>
          </cell>
          <cell r="I184">
            <v>33</v>
          </cell>
        </row>
        <row r="185">
          <cell r="E185" t="str">
            <v>14" BCI 6000s-1.8 - 18'</v>
          </cell>
          <cell r="I185">
            <v>4</v>
          </cell>
        </row>
        <row r="186">
          <cell r="E186" t="str">
            <v>14" BCI 6000s-1.8 - 20'</v>
          </cell>
          <cell r="I186">
            <v>26</v>
          </cell>
        </row>
        <row r="187">
          <cell r="E187" t="str">
            <v>14" BCI 6000s-1.8 - 22'</v>
          </cell>
          <cell r="I187">
            <v>4</v>
          </cell>
        </row>
        <row r="189">
          <cell r="E189" t="str">
            <v>RIM JOIST:</v>
          </cell>
        </row>
        <row r="190">
          <cell r="E190" t="str">
            <v>2x14 SPF # Stud Grade - 16'</v>
          </cell>
          <cell r="I190">
            <v>30.645624999999999</v>
          </cell>
        </row>
        <row r="192">
          <cell r="E192" t="str">
            <v>WOOD BLOCKING:</v>
          </cell>
        </row>
        <row r="193">
          <cell r="E193" t="str">
            <v>2x4 SPF # Stud Grade - 16'</v>
          </cell>
          <cell r="I193">
            <v>19.586437499999999</v>
          </cell>
        </row>
        <row r="195">
          <cell r="E195" t="str">
            <v>FIRST FLOOR FRAMING</v>
          </cell>
        </row>
        <row r="196">
          <cell r="E196" t="str">
            <v>WALLS:</v>
          </cell>
        </row>
        <row r="197">
          <cell r="E197" t="str">
            <v>2x6 Wood Stud Wall @ 16" O.C</v>
          </cell>
        </row>
        <row r="198">
          <cell r="E198" t="str">
            <v>2x6 SPF # Stud Grade - 104-5/8"</v>
          </cell>
          <cell r="I198">
            <v>192.91578947368419</v>
          </cell>
        </row>
        <row r="199">
          <cell r="E199" t="str">
            <v>2x6 SPF # Stud Grade - 16'</v>
          </cell>
          <cell r="I199">
            <v>32.072250000000004</v>
          </cell>
        </row>
        <row r="200">
          <cell r="E200" t="str">
            <v>2x6 SPF # Stud Grade - 16'</v>
          </cell>
          <cell r="I200">
            <v>16.036125000000002</v>
          </cell>
        </row>
        <row r="201">
          <cell r="E201" t="str">
            <v>5/8" Zip Panel Sheathing (4'x8')</v>
          </cell>
          <cell r="I201">
            <v>80.180625000000006</v>
          </cell>
        </row>
        <row r="203">
          <cell r="E203" t="str">
            <v>2x4 Wood Stud Wall @ 16" O.C</v>
          </cell>
        </row>
        <row r="204">
          <cell r="E204" t="str">
            <v>2x4 SPF # Stud Grade - 104-5/8"</v>
          </cell>
          <cell r="I204">
            <v>266.21842105263153</v>
          </cell>
        </row>
        <row r="205">
          <cell r="E205" t="str">
            <v>2x4 SPF # Stud Grade - 16'</v>
          </cell>
          <cell r="I205">
            <v>44.258812499999998</v>
          </cell>
        </row>
        <row r="206">
          <cell r="E206" t="str">
            <v>2x4 SPF # Stud Grade - 16'</v>
          </cell>
          <cell r="I206">
            <v>22.129406249999999</v>
          </cell>
        </row>
        <row r="208">
          <cell r="E208" t="str">
            <v>2x4 Privacy Wood Stud Wall @ 16" O.C</v>
          </cell>
        </row>
        <row r="209">
          <cell r="E209" t="str">
            <v>2x4 SPF # Stud Grade - 104-5/8"</v>
          </cell>
          <cell r="I209">
            <v>22.807894736842105</v>
          </cell>
        </row>
        <row r="210">
          <cell r="E210" t="str">
            <v>2x4 SPF # Stud Grade - 16'</v>
          </cell>
          <cell r="I210">
            <v>3.7918125000000003</v>
          </cell>
        </row>
        <row r="211">
          <cell r="E211" t="str">
            <v>2x4 SPF # Stud Grade - 16'</v>
          </cell>
          <cell r="I211">
            <v>1.8959062500000001</v>
          </cell>
        </row>
        <row r="212">
          <cell r="E212" t="str">
            <v>5/8" Zip Panel Sheathing (4'x8')</v>
          </cell>
          <cell r="I212">
            <v>16.115203125000001</v>
          </cell>
        </row>
        <row r="214">
          <cell r="E214" t="str">
            <v>EXTRA STUD:</v>
          </cell>
        </row>
        <row r="215">
          <cell r="E215" t="str">
            <v>2x6 SPF # Stud Grade - 104-5/8"</v>
          </cell>
          <cell r="I215">
            <v>136.5</v>
          </cell>
        </row>
        <row r="216">
          <cell r="E216" t="str">
            <v>2x6 SPF # Stud Grade - 92-5/8"</v>
          </cell>
          <cell r="I216">
            <v>56.7</v>
          </cell>
        </row>
        <row r="217">
          <cell r="E217" t="str">
            <v>2x4 SPF # Stud Grade - 104-5/8"</v>
          </cell>
          <cell r="I217">
            <v>151.19999999999999</v>
          </cell>
        </row>
        <row r="218">
          <cell r="E218" t="str">
            <v>2x4 SPF # Stud Grade - 92-5/8"</v>
          </cell>
          <cell r="I218">
            <v>42</v>
          </cell>
        </row>
        <row r="220">
          <cell r="E220" t="str">
            <v>BEAMS:</v>
          </cell>
        </row>
        <row r="221">
          <cell r="E221" t="str">
            <v>1-3/4" x 14" LVL - 8'</v>
          </cell>
          <cell r="I221">
            <v>10</v>
          </cell>
        </row>
        <row r="222">
          <cell r="E222" t="str">
            <v>1-3/4" x 14" LVL - 18'</v>
          </cell>
          <cell r="I222">
            <v>20</v>
          </cell>
        </row>
        <row r="224">
          <cell r="E224" t="str">
            <v>HEADERS:</v>
          </cell>
        </row>
        <row r="225">
          <cell r="E225" t="str">
            <v>2x10 SPF #1 - 8'</v>
          </cell>
          <cell r="I225">
            <v>33</v>
          </cell>
        </row>
        <row r="226">
          <cell r="E226" t="str">
            <v>2x10 SPF #1 - 12'</v>
          </cell>
          <cell r="I226">
            <v>8</v>
          </cell>
        </row>
        <row r="228">
          <cell r="E228" t="str">
            <v>2x8 SPF #1 - 8'</v>
          </cell>
          <cell r="I228">
            <v>15</v>
          </cell>
        </row>
        <row r="229">
          <cell r="E229" t="str">
            <v>2x8 SPF #1 - 12'</v>
          </cell>
          <cell r="I229">
            <v>5</v>
          </cell>
        </row>
        <row r="232">
          <cell r="E232" t="str">
            <v>WOOD POST:</v>
          </cell>
        </row>
        <row r="233">
          <cell r="E233" t="str">
            <v>4x4 SPF #1 - 8'</v>
          </cell>
          <cell r="I233">
            <v>10</v>
          </cell>
        </row>
        <row r="234">
          <cell r="E234" t="str">
            <v>4x4 SPF #1 - 10'</v>
          </cell>
          <cell r="I234">
            <v>21</v>
          </cell>
        </row>
        <row r="236">
          <cell r="E236" t="str">
            <v>14" BCI 6000s-1.8 FLOOR JOIST @ 16" O.C</v>
          </cell>
        </row>
        <row r="237">
          <cell r="E237" t="str">
            <v>14" BCI 6000s-1.8 - 10'</v>
          </cell>
          <cell r="I237">
            <v>5</v>
          </cell>
        </row>
        <row r="238">
          <cell r="E238" t="str">
            <v>14" BCI 6000s-1.8 - 16'</v>
          </cell>
          <cell r="I238">
            <v>20</v>
          </cell>
        </row>
        <row r="239">
          <cell r="E239" t="str">
            <v>14" BCI 6000s-1.8 - 20'</v>
          </cell>
          <cell r="I239">
            <v>37</v>
          </cell>
        </row>
        <row r="241">
          <cell r="E241" t="str">
            <v>2x12 P.T DECK JOIST @ 16" O.C</v>
          </cell>
        </row>
        <row r="242">
          <cell r="E242" t="str">
            <v>2x12 P.T SPF #1 - 14'</v>
          </cell>
          <cell r="I242">
            <v>1</v>
          </cell>
        </row>
        <row r="243">
          <cell r="E243" t="str">
            <v>2x12 P.T SPF #1 - 20'</v>
          </cell>
          <cell r="I243">
            <v>29</v>
          </cell>
        </row>
        <row r="245">
          <cell r="E245" t="str">
            <v>RIM JOIST:</v>
          </cell>
        </row>
        <row r="246">
          <cell r="E246" t="str">
            <v>2x14 SPF # Stud Grade - 16'</v>
          </cell>
          <cell r="I246">
            <v>25.109375</v>
          </cell>
        </row>
        <row r="247">
          <cell r="E247" t="str">
            <v>2x12 P.T SPF # Stud Grade - 16'</v>
          </cell>
          <cell r="I247">
            <v>10.584375</v>
          </cell>
        </row>
        <row r="249">
          <cell r="E249" t="str">
            <v>LEDGER BOARD:</v>
          </cell>
        </row>
        <row r="250">
          <cell r="E250" t="str">
            <v>2x12 P.T SPF # Stud Grade - 16'</v>
          </cell>
          <cell r="I250">
            <v>5.7093749999999996</v>
          </cell>
        </row>
        <row r="252">
          <cell r="E252" t="str">
            <v>ROOF FRAMING</v>
          </cell>
        </row>
        <row r="253">
          <cell r="E253" t="str">
            <v>14" BCI 6000s-1.8 ROOF RAFTER @ 16" O.C</v>
          </cell>
        </row>
        <row r="254">
          <cell r="E254" t="str">
            <v>14" BCI 6000s-1.8 - 10'</v>
          </cell>
          <cell r="I254">
            <v>5</v>
          </cell>
        </row>
        <row r="255">
          <cell r="E255" t="str">
            <v>14" BCI 6000s-1.8 - 20'</v>
          </cell>
          <cell r="I255">
            <v>66</v>
          </cell>
        </row>
        <row r="257">
          <cell r="E257" t="str">
            <v>STAIR FRAMING</v>
          </cell>
        </row>
        <row r="258">
          <cell r="E258" t="str">
            <v>TREAD:</v>
          </cell>
        </row>
        <row r="259">
          <cell r="E259" t="str">
            <v>2x12 SPF #1 - 16'</v>
          </cell>
          <cell r="I259">
            <v>8.4656249999999993</v>
          </cell>
        </row>
        <row r="261">
          <cell r="E261" t="str">
            <v>RISER:</v>
          </cell>
        </row>
        <row r="262">
          <cell r="E262" t="str">
            <v>2x8 SPF #1 - 16'</v>
          </cell>
          <cell r="I262">
            <v>9.2531250000000007</v>
          </cell>
        </row>
        <row r="264">
          <cell r="E264" t="str">
            <v>STRINGER:</v>
          </cell>
        </row>
        <row r="265">
          <cell r="E265" t="str">
            <v>2x12 SPF #1 - 16'</v>
          </cell>
          <cell r="I265">
            <v>9.4499999999999993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</sheetPr>
  <dimension ref="A1:S54"/>
  <sheetViews>
    <sheetView view="pageBreakPreview" zoomScale="52" zoomScaleNormal="85" zoomScaleSheetLayoutView="85" workbookViewId="0">
      <pane ySplit="1" topLeftCell="A35" activePane="bottomLeft" state="frozen"/>
      <selection pane="bottomLeft" activeCell="C48" sqref="C48"/>
    </sheetView>
  </sheetViews>
  <sheetFormatPr defaultColWidth="9.1796875" defaultRowHeight="14.5" x14ac:dyDescent="0.35"/>
  <cols>
    <col min="1" max="1" width="9.81640625" style="52" customWidth="1"/>
    <col min="2" max="2" width="15.1796875" style="53" customWidth="1"/>
    <col min="3" max="3" width="52.54296875" style="52" customWidth="1"/>
    <col min="4" max="4" width="15.81640625" style="52" customWidth="1"/>
    <col min="5" max="5" width="15.81640625" style="54" customWidth="1"/>
    <col min="6" max="6" width="14.81640625" style="54" customWidth="1"/>
    <col min="7" max="7" width="14.1796875" style="54" customWidth="1"/>
    <col min="8" max="8" width="16.81640625" style="54" customWidth="1"/>
    <col min="9" max="9" width="14.1796875" style="54" customWidth="1"/>
    <col min="10" max="11" width="15.453125" style="54" customWidth="1"/>
    <col min="12" max="13" width="19.1796875" style="54" customWidth="1"/>
    <col min="14" max="14" width="10.81640625" style="52" customWidth="1"/>
    <col min="15" max="18" width="9.1796875" style="52"/>
    <col min="19" max="19" width="13.453125" style="52" customWidth="1"/>
    <col min="20" max="16384" width="9.1796875" style="52"/>
  </cols>
  <sheetData>
    <row r="1" spans="1:17" ht="37.5" customHeight="1" thickBot="1" x14ac:dyDescent="0.4">
      <c r="A1" s="288" t="str">
        <f>Worksheet!E1</f>
        <v>226 MANGOLIA STREET</v>
      </c>
      <c r="B1" s="289"/>
      <c r="C1" s="289"/>
      <c r="D1" s="289"/>
      <c r="E1" s="289"/>
      <c r="F1" s="289"/>
      <c r="G1" s="289"/>
      <c r="H1" s="289"/>
      <c r="I1" s="289"/>
      <c r="J1" s="289"/>
      <c r="K1" s="289"/>
      <c r="L1" s="289"/>
      <c r="M1" s="289"/>
      <c r="N1" s="290"/>
    </row>
    <row r="2" spans="1:17" ht="15" thickBot="1" x14ac:dyDescent="0.4">
      <c r="A2" s="101"/>
      <c r="B2" s="96"/>
      <c r="C2" s="107"/>
      <c r="D2" s="96"/>
      <c r="E2" s="107"/>
      <c r="F2" s="96"/>
      <c r="G2" s="107"/>
      <c r="H2" s="96"/>
      <c r="I2" s="107"/>
      <c r="J2" s="96"/>
      <c r="K2" s="107"/>
      <c r="L2" s="96"/>
      <c r="M2" s="107"/>
      <c r="N2" s="101"/>
    </row>
    <row r="3" spans="1:17" ht="30" customHeight="1" thickBot="1" x14ac:dyDescent="0.4">
      <c r="A3" s="100"/>
      <c r="B3" s="298" t="s">
        <v>24</v>
      </c>
      <c r="C3" s="299"/>
      <c r="D3" s="299"/>
      <c r="E3" s="299"/>
      <c r="F3" s="299"/>
      <c r="G3" s="299"/>
      <c r="H3" s="299"/>
      <c r="I3" s="299"/>
      <c r="J3" s="299"/>
      <c r="K3" s="299"/>
      <c r="L3" s="299"/>
      <c r="M3" s="300"/>
      <c r="N3" s="100"/>
    </row>
    <row r="4" spans="1:17" ht="29.5" thickBot="1" x14ac:dyDescent="0.4">
      <c r="A4" s="100"/>
      <c r="B4" s="4" t="s">
        <v>120</v>
      </c>
      <c r="C4" s="5" t="s">
        <v>1</v>
      </c>
      <c r="D4" s="6" t="s">
        <v>16</v>
      </c>
      <c r="E4" s="7" t="s">
        <v>17</v>
      </c>
      <c r="F4" s="7" t="s">
        <v>18</v>
      </c>
      <c r="G4" s="7" t="s">
        <v>19</v>
      </c>
      <c r="H4" s="7" t="s">
        <v>20</v>
      </c>
      <c r="I4" s="7" t="s">
        <v>21</v>
      </c>
      <c r="J4" s="7" t="s">
        <v>170</v>
      </c>
      <c r="K4" s="215" t="s">
        <v>143</v>
      </c>
      <c r="L4" s="48" t="s">
        <v>22</v>
      </c>
      <c r="M4" s="239" t="s">
        <v>142</v>
      </c>
      <c r="N4" s="100"/>
    </row>
    <row r="5" spans="1:17" ht="20.149999999999999" customHeight="1" x14ac:dyDescent="0.35">
      <c r="A5" s="103"/>
      <c r="B5" s="230"/>
      <c r="C5" s="231" t="str">
        <f>Worksheet!E8</f>
        <v>GENERAL REQUIREMENTS SUBGROUP WORK</v>
      </c>
      <c r="D5" s="232"/>
      <c r="E5" s="232"/>
      <c r="F5" s="233"/>
      <c r="G5" s="233"/>
      <c r="H5" s="233"/>
      <c r="I5" s="233"/>
      <c r="J5" s="233"/>
      <c r="K5" s="234"/>
      <c r="L5" s="234"/>
      <c r="M5" s="235"/>
      <c r="N5" s="103"/>
      <c r="O5" s="54"/>
      <c r="P5" s="54"/>
      <c r="Q5" s="54"/>
    </row>
    <row r="6" spans="1:17" ht="25.25" customHeight="1" x14ac:dyDescent="0.35">
      <c r="A6" s="101"/>
      <c r="B6" s="55" t="str">
        <f>Worksheet!D9</f>
        <v>01 00 00</v>
      </c>
      <c r="C6" s="56" t="str">
        <f>Worksheet!E9</f>
        <v>GENERAL REQUIREMENTS</v>
      </c>
      <c r="D6" s="163">
        <f>Worksheet!J$17</f>
        <v>0</v>
      </c>
      <c r="E6" s="163">
        <f>Worksheet!M17+'Lumber Breakdown'!M17</f>
        <v>151160.74564057853</v>
      </c>
      <c r="F6" s="164">
        <f>D6*$D$31</f>
        <v>0</v>
      </c>
      <c r="G6" s="164">
        <f>E6*$D$34</f>
        <v>0</v>
      </c>
      <c r="H6" s="164">
        <f t="shared" ref="H6:H10" si="0">D6+E6+F6+G6</f>
        <v>151160.74564057853</v>
      </c>
      <c r="I6" s="164">
        <f>H6*$D$36</f>
        <v>15116.074564057853</v>
      </c>
      <c r="J6" s="164">
        <f>H6*$D$37</f>
        <v>15116.074564057853</v>
      </c>
      <c r="K6" s="216">
        <f>SUM(E$39:E$51)+E$32+(E$32*(D$36+D$37))</f>
        <v>0</v>
      </c>
      <c r="L6" s="165">
        <f>H6+I6+J6+K6</f>
        <v>181392.89476869424</v>
      </c>
      <c r="M6" s="240">
        <f>L6/J$42</f>
        <v>1813.9289476869424</v>
      </c>
      <c r="N6" s="101"/>
      <c r="O6" s="93">
        <f t="shared" ref="O6:O26" si="1">IF(M6=0,"",(M6/M$27))</f>
        <v>7.31819496699814E-2</v>
      </c>
      <c r="P6" s="54"/>
      <c r="Q6" s="54"/>
    </row>
    <row r="7" spans="1:17" ht="20.149999999999999" customHeight="1" x14ac:dyDescent="0.35">
      <c r="A7" s="100"/>
      <c r="B7" s="230"/>
      <c r="C7" s="231" t="str">
        <f>Worksheet!E18</f>
        <v>FACILITY CONSTRUCTION SUBGROUP WORK</v>
      </c>
      <c r="D7" s="232"/>
      <c r="E7" s="232"/>
      <c r="F7" s="233"/>
      <c r="G7" s="233"/>
      <c r="H7" s="233"/>
      <c r="I7" s="233"/>
      <c r="J7" s="233"/>
      <c r="K7" s="234"/>
      <c r="L7" s="234"/>
      <c r="M7" s="235"/>
      <c r="N7" s="100"/>
      <c r="O7" s="93" t="str">
        <f t="shared" si="1"/>
        <v/>
      </c>
      <c r="P7" s="54"/>
      <c r="Q7" s="54"/>
    </row>
    <row r="8" spans="1:17" ht="25.25" customHeight="1" x14ac:dyDescent="0.35">
      <c r="A8" s="103"/>
      <c r="B8" s="55" t="str">
        <f>Worksheet!D19</f>
        <v>03 00 00</v>
      </c>
      <c r="C8" s="56" t="str">
        <f>Worksheet!E19</f>
        <v>CONCRETE</v>
      </c>
      <c r="D8" s="163">
        <f>Worksheet!J$61</f>
        <v>23726.529739034635</v>
      </c>
      <c r="E8" s="163">
        <f>Worksheet!$M61</f>
        <v>34341.182434936018</v>
      </c>
      <c r="F8" s="164">
        <f t="shared" ref="F8:F16" si="2">D8*$D$31</f>
        <v>1482.9081086896647</v>
      </c>
      <c r="G8" s="164">
        <f t="shared" ref="G8:G16" si="3">E8*$D$34</f>
        <v>0</v>
      </c>
      <c r="H8" s="164">
        <f t="shared" si="0"/>
        <v>59550.620282660311</v>
      </c>
      <c r="I8" s="164">
        <f t="shared" ref="I8:I16" si="4">H8*$D$36</f>
        <v>5955.0620282660311</v>
      </c>
      <c r="J8" s="164">
        <f t="shared" ref="J8:J16" si="5">H8*$D$37</f>
        <v>5955.0620282660311</v>
      </c>
      <c r="K8" s="216">
        <v>0</v>
      </c>
      <c r="L8" s="165">
        <f t="shared" ref="L8:L25" si="6">H8+I8+J8+K8</f>
        <v>71460.744339192373</v>
      </c>
      <c r="M8" s="241">
        <f t="shared" ref="M8:M16" si="7">L8/J$42</f>
        <v>714.60744339192377</v>
      </c>
      <c r="N8" s="103"/>
      <c r="O8" s="93">
        <f t="shared" si="1"/>
        <v>2.8830437941237064E-2</v>
      </c>
      <c r="P8" s="54"/>
      <c r="Q8" s="54"/>
    </row>
    <row r="9" spans="1:17" ht="25.25" customHeight="1" x14ac:dyDescent="0.35">
      <c r="A9" s="100"/>
      <c r="B9" s="55" t="str">
        <f>Worksheet!D62</f>
        <v>05 00 00</v>
      </c>
      <c r="C9" s="56" t="str">
        <f>Worksheet!E62</f>
        <v>METALS</v>
      </c>
      <c r="D9" s="163">
        <f>Worksheet!J$70+'Lumber Breakdown'!J43</f>
        <v>17452.219614849622</v>
      </c>
      <c r="E9" s="163">
        <f>Worksheet!$M70+'Lumber Breakdown'!M43</f>
        <v>12431.486592729323</v>
      </c>
      <c r="F9" s="164">
        <f t="shared" si="2"/>
        <v>1090.7637259281014</v>
      </c>
      <c r="G9" s="164">
        <f t="shared" si="3"/>
        <v>0</v>
      </c>
      <c r="H9" s="164">
        <f t="shared" si="0"/>
        <v>30974.469933507044</v>
      </c>
      <c r="I9" s="164">
        <f t="shared" si="4"/>
        <v>3097.4469933507044</v>
      </c>
      <c r="J9" s="164">
        <f t="shared" si="5"/>
        <v>3097.4469933507044</v>
      </c>
      <c r="K9" s="216">
        <v>0</v>
      </c>
      <c r="L9" s="165">
        <f t="shared" si="6"/>
        <v>37169.363920208452</v>
      </c>
      <c r="M9" s="241">
        <f t="shared" si="7"/>
        <v>371.69363920208451</v>
      </c>
      <c r="N9" s="100"/>
      <c r="O9" s="93">
        <f t="shared" si="1"/>
        <v>1.4995772150516291E-2</v>
      </c>
      <c r="P9" s="54"/>
      <c r="Q9" s="54"/>
    </row>
    <row r="10" spans="1:17" ht="25.25" customHeight="1" x14ac:dyDescent="0.35">
      <c r="A10" s="100"/>
      <c r="B10" s="55" t="str">
        <f>Worksheet!D71</f>
        <v>06 00 00</v>
      </c>
      <c r="C10" s="56" t="str">
        <f>Worksheet!E71</f>
        <v>WOOD, PLASTICS, AND COMPOSITES</v>
      </c>
      <c r="D10" s="163">
        <f>Worksheet!J$86+'Lumber Breakdown'!J268</f>
        <v>122676.63833624177</v>
      </c>
      <c r="E10" s="163">
        <f>Worksheet!$M86+'Lumber Breakdown'!M268</f>
        <v>257128.71035793173</v>
      </c>
      <c r="F10" s="164">
        <f t="shared" si="2"/>
        <v>7667.2898960151106</v>
      </c>
      <c r="G10" s="164">
        <f t="shared" si="3"/>
        <v>0</v>
      </c>
      <c r="H10" s="164">
        <f t="shared" si="0"/>
        <v>387472.63859018864</v>
      </c>
      <c r="I10" s="164">
        <f t="shared" si="4"/>
        <v>38747.263859018865</v>
      </c>
      <c r="J10" s="164">
        <f t="shared" si="5"/>
        <v>38747.263859018865</v>
      </c>
      <c r="K10" s="216">
        <v>0</v>
      </c>
      <c r="L10" s="165">
        <f t="shared" si="6"/>
        <v>464967.16630822635</v>
      </c>
      <c r="M10" s="241">
        <f t="shared" si="7"/>
        <v>4649.6716630822639</v>
      </c>
      <c r="N10" s="100"/>
      <c r="O10" s="93">
        <f t="shared" si="1"/>
        <v>0.18758840475175598</v>
      </c>
      <c r="P10" s="54"/>
      <c r="Q10" s="54"/>
    </row>
    <row r="11" spans="1:17" ht="25.25" customHeight="1" x14ac:dyDescent="0.35">
      <c r="A11" s="103"/>
      <c r="B11" s="55" t="str">
        <f>Worksheet!D87</f>
        <v>07 00 00</v>
      </c>
      <c r="C11" s="56" t="str">
        <f>Worksheet!E87</f>
        <v>THERMAL AND MOISTURE PROTECTION</v>
      </c>
      <c r="D11" s="163">
        <f>Worksheet!J$115+'Lumber Breakdown'!J293</f>
        <v>59316.548604999996</v>
      </c>
      <c r="E11" s="163">
        <f>Worksheet!$M115+'Lumber Breakdown'!M293</f>
        <v>56086.330364999987</v>
      </c>
      <c r="F11" s="164">
        <f t="shared" si="2"/>
        <v>3707.2842878124998</v>
      </c>
      <c r="G11" s="164">
        <f t="shared" si="3"/>
        <v>0</v>
      </c>
      <c r="H11" s="164">
        <f t="shared" ref="H11:H15" si="8">D11+E11+F11+G11</f>
        <v>119110.16325781248</v>
      </c>
      <c r="I11" s="164">
        <f t="shared" si="4"/>
        <v>11911.016325781249</v>
      </c>
      <c r="J11" s="164">
        <f t="shared" si="5"/>
        <v>11911.016325781249</v>
      </c>
      <c r="K11" s="216">
        <v>0</v>
      </c>
      <c r="L11" s="165">
        <f t="shared" si="6"/>
        <v>142932.19590937498</v>
      </c>
      <c r="M11" s="241">
        <f t="shared" si="7"/>
        <v>1429.3219590937497</v>
      </c>
      <c r="N11" s="103"/>
      <c r="O11" s="93">
        <f t="shared" si="1"/>
        <v>5.7665195654979164E-2</v>
      </c>
      <c r="P11" s="54"/>
      <c r="Q11" s="54"/>
    </row>
    <row r="12" spans="1:17" ht="25.25" customHeight="1" x14ac:dyDescent="0.35">
      <c r="A12" s="101"/>
      <c r="B12" s="55" t="str">
        <f>Worksheet!D116</f>
        <v>08 00 00</v>
      </c>
      <c r="C12" s="56" t="str">
        <f>Worksheet!E116</f>
        <v>OPENINGS</v>
      </c>
      <c r="D12" s="163">
        <f>Worksheet!J$143</f>
        <v>172917.70562222225</v>
      </c>
      <c r="E12" s="163">
        <f>Worksheet!$M143</f>
        <v>101532.3879111111</v>
      </c>
      <c r="F12" s="164">
        <f t="shared" si="2"/>
        <v>10807.35660138889</v>
      </c>
      <c r="G12" s="164">
        <f t="shared" si="3"/>
        <v>0</v>
      </c>
      <c r="H12" s="164">
        <f t="shared" si="8"/>
        <v>285257.45013472222</v>
      </c>
      <c r="I12" s="164">
        <f t="shared" si="4"/>
        <v>28525.745013472224</v>
      </c>
      <c r="J12" s="164">
        <f t="shared" si="5"/>
        <v>28525.745013472224</v>
      </c>
      <c r="K12" s="216">
        <v>0</v>
      </c>
      <c r="L12" s="165">
        <f t="shared" si="6"/>
        <v>342308.94016166666</v>
      </c>
      <c r="M12" s="241">
        <f t="shared" si="7"/>
        <v>3423.0894016166667</v>
      </c>
      <c r="N12" s="101"/>
      <c r="O12" s="93">
        <f t="shared" si="1"/>
        <v>0.13810262889535832</v>
      </c>
      <c r="P12" s="54"/>
      <c r="Q12" s="54"/>
    </row>
    <row r="13" spans="1:17" ht="25.25" customHeight="1" x14ac:dyDescent="0.35">
      <c r="A13" s="100"/>
      <c r="B13" s="55" t="str">
        <f>Worksheet!D144</f>
        <v>09 00 00</v>
      </c>
      <c r="C13" s="56" t="str">
        <f>Worksheet!E144</f>
        <v>FINISHES</v>
      </c>
      <c r="D13" s="163">
        <f>Worksheet!J$234</f>
        <v>116233.362031625</v>
      </c>
      <c r="E13" s="163">
        <f>Worksheet!$M234</f>
        <v>324646.43273640244</v>
      </c>
      <c r="F13" s="164">
        <f t="shared" si="2"/>
        <v>7264.5851269765626</v>
      </c>
      <c r="G13" s="164">
        <f t="shared" si="3"/>
        <v>0</v>
      </c>
      <c r="H13" s="164">
        <f t="shared" si="8"/>
        <v>448144.37989500398</v>
      </c>
      <c r="I13" s="164">
        <f t="shared" si="4"/>
        <v>44814.437989500402</v>
      </c>
      <c r="J13" s="164">
        <f t="shared" si="5"/>
        <v>44814.437989500402</v>
      </c>
      <c r="K13" s="216">
        <v>0</v>
      </c>
      <c r="L13" s="165">
        <f t="shared" si="6"/>
        <v>537773.2558740048</v>
      </c>
      <c r="M13" s="241">
        <f t="shared" si="7"/>
        <v>5377.7325587400483</v>
      </c>
      <c r="N13" s="100"/>
      <c r="O13" s="93">
        <f t="shared" si="1"/>
        <v>0.2169616147061213</v>
      </c>
      <c r="P13" s="54"/>
      <c r="Q13" s="54"/>
    </row>
    <row r="14" spans="1:17" ht="25.25" customHeight="1" x14ac:dyDescent="0.35">
      <c r="A14" s="100"/>
      <c r="B14" s="55" t="str">
        <f>Worksheet!D235</f>
        <v>10 00 00</v>
      </c>
      <c r="C14" s="56" t="str">
        <f>Worksheet!E235</f>
        <v>SPECIALTIES</v>
      </c>
      <c r="D14" s="163">
        <f>Worksheet!J$254</f>
        <v>46446.858039999999</v>
      </c>
      <c r="E14" s="163">
        <f>Worksheet!$M254</f>
        <v>21830.200469999996</v>
      </c>
      <c r="F14" s="164">
        <f t="shared" si="2"/>
        <v>2902.9286274999999</v>
      </c>
      <c r="G14" s="164">
        <f t="shared" si="3"/>
        <v>0</v>
      </c>
      <c r="H14" s="164">
        <f t="shared" si="8"/>
        <v>71179.987137500008</v>
      </c>
      <c r="I14" s="164">
        <f t="shared" si="4"/>
        <v>7117.9987137500011</v>
      </c>
      <c r="J14" s="164">
        <f t="shared" si="5"/>
        <v>7117.9987137500011</v>
      </c>
      <c r="K14" s="216">
        <v>0</v>
      </c>
      <c r="L14" s="165">
        <f t="shared" si="6"/>
        <v>85415.984565000006</v>
      </c>
      <c r="M14" s="241">
        <f t="shared" si="7"/>
        <v>854.15984565000008</v>
      </c>
      <c r="N14" s="100"/>
      <c r="O14" s="93">
        <f t="shared" si="1"/>
        <v>3.4460601620690125E-2</v>
      </c>
      <c r="P14" s="54"/>
      <c r="Q14" s="54"/>
    </row>
    <row r="15" spans="1:17" ht="25.25" customHeight="1" x14ac:dyDescent="0.35">
      <c r="A15" s="103"/>
      <c r="B15" s="55" t="str">
        <f>Worksheet!D255</f>
        <v>11 00 00</v>
      </c>
      <c r="C15" s="56" t="str">
        <f>Worksheet!E255</f>
        <v>EQUIPMENT</v>
      </c>
      <c r="D15" s="163">
        <f>Worksheet!J$263</f>
        <v>31850</v>
      </c>
      <c r="E15" s="163">
        <f>Worksheet!$M263</f>
        <v>7589.4</v>
      </c>
      <c r="F15" s="164">
        <f t="shared" si="2"/>
        <v>1990.625</v>
      </c>
      <c r="G15" s="164">
        <f t="shared" si="3"/>
        <v>0</v>
      </c>
      <c r="H15" s="164">
        <f t="shared" si="8"/>
        <v>41430.025000000001</v>
      </c>
      <c r="I15" s="164">
        <f t="shared" si="4"/>
        <v>4143.0025000000005</v>
      </c>
      <c r="J15" s="164">
        <f t="shared" si="5"/>
        <v>4143.0025000000005</v>
      </c>
      <c r="K15" s="216">
        <v>0</v>
      </c>
      <c r="L15" s="165">
        <f t="shared" si="6"/>
        <v>49716.030000000006</v>
      </c>
      <c r="M15" s="241">
        <f t="shared" si="7"/>
        <v>497.16030000000006</v>
      </c>
      <c r="N15" s="103"/>
      <c r="O15" s="93">
        <f t="shared" si="1"/>
        <v>2.0057654462655422E-2</v>
      </c>
      <c r="P15" s="54"/>
      <c r="Q15" s="54"/>
    </row>
    <row r="16" spans="1:17" ht="25.25" customHeight="1" x14ac:dyDescent="0.35">
      <c r="A16" s="101"/>
      <c r="B16" s="55" t="str">
        <f>Worksheet!D264</f>
        <v>12 00 00</v>
      </c>
      <c r="C16" s="56" t="str">
        <f>Worksheet!E264</f>
        <v>FURNISHINGS</v>
      </c>
      <c r="D16" s="163">
        <f>Worksheet!J$272</f>
        <v>16380.493799999998</v>
      </c>
      <c r="E16" s="163">
        <f>Worksheet!$M272</f>
        <v>5603.0334360000006</v>
      </c>
      <c r="F16" s="164">
        <f t="shared" si="2"/>
        <v>1023.7808624999999</v>
      </c>
      <c r="G16" s="164">
        <f t="shared" si="3"/>
        <v>0</v>
      </c>
      <c r="H16" s="164">
        <f t="shared" ref="H16:H25" si="9">D16+E16+F16+G16</f>
        <v>23007.308098499998</v>
      </c>
      <c r="I16" s="164">
        <f t="shared" si="4"/>
        <v>2300.7308098499998</v>
      </c>
      <c r="J16" s="164">
        <f t="shared" si="5"/>
        <v>2300.7308098499998</v>
      </c>
      <c r="K16" s="216">
        <v>0</v>
      </c>
      <c r="L16" s="165">
        <f t="shared" si="6"/>
        <v>27608.769718199997</v>
      </c>
      <c r="M16" s="241">
        <f t="shared" si="7"/>
        <v>276.087697182</v>
      </c>
      <c r="N16" s="101"/>
      <c r="O16" s="93">
        <f t="shared" si="1"/>
        <v>1.1138603849637231E-2</v>
      </c>
      <c r="P16" s="54"/>
      <c r="Q16" s="54"/>
    </row>
    <row r="17" spans="1:17" ht="20.149999999999999" customHeight="1" x14ac:dyDescent="0.35">
      <c r="A17" s="103"/>
      <c r="B17" s="230"/>
      <c r="C17" s="231" t="str">
        <f>Worksheet!E273</f>
        <v>FACILITY SERVICES SUBGROUP WORK</v>
      </c>
      <c r="D17" s="232"/>
      <c r="E17" s="232"/>
      <c r="F17" s="233"/>
      <c r="G17" s="233"/>
      <c r="H17" s="233"/>
      <c r="I17" s="233"/>
      <c r="J17" s="233"/>
      <c r="K17" s="234"/>
      <c r="L17" s="234"/>
      <c r="M17" s="235"/>
      <c r="N17" s="103"/>
      <c r="O17" s="93" t="str">
        <f t="shared" si="1"/>
        <v/>
      </c>
      <c r="P17" s="54"/>
      <c r="Q17" s="54"/>
    </row>
    <row r="18" spans="1:17" ht="25.25" customHeight="1" x14ac:dyDescent="0.35">
      <c r="A18" s="101"/>
      <c r="B18" s="55" t="str">
        <f>Worksheet!D274</f>
        <v>21 00 00</v>
      </c>
      <c r="C18" s="56" t="str">
        <f>Worksheet!E274</f>
        <v>FIRE SUPPRESSION</v>
      </c>
      <c r="D18" s="163">
        <f>Worksheet!J$297</f>
        <v>17169.624530000001</v>
      </c>
      <c r="E18" s="163">
        <f>Worksheet!M$297</f>
        <v>17837.617961097003</v>
      </c>
      <c r="F18" s="164">
        <f>D18*$D$31</f>
        <v>1073.1015331250001</v>
      </c>
      <c r="G18" s="164">
        <f>E18*$D$34</f>
        <v>0</v>
      </c>
      <c r="H18" s="164">
        <f t="shared" ref="H18:H21" si="10">D18+E18+F18+G18</f>
        <v>36080.344024222002</v>
      </c>
      <c r="I18" s="164">
        <f>H18*$D$36</f>
        <v>3608.0344024222004</v>
      </c>
      <c r="J18" s="164">
        <f>H18*$D$37</f>
        <v>3608.0344024222004</v>
      </c>
      <c r="K18" s="216">
        <v>0</v>
      </c>
      <c r="L18" s="165">
        <f t="shared" si="6"/>
        <v>43296.412829066401</v>
      </c>
      <c r="M18" s="241">
        <f>L18/J$42</f>
        <v>432.96412829066401</v>
      </c>
      <c r="N18" s="101"/>
      <c r="O18" s="93">
        <f t="shared" si="1"/>
        <v>1.7467695791435783E-2</v>
      </c>
      <c r="P18" s="54"/>
      <c r="Q18" s="54"/>
    </row>
    <row r="19" spans="1:17" ht="25.25" customHeight="1" x14ac:dyDescent="0.35">
      <c r="A19" s="100"/>
      <c r="B19" s="55" t="str">
        <f>Worksheet!D298</f>
        <v>22 00 00</v>
      </c>
      <c r="C19" s="56" t="str">
        <f>Worksheet!E298</f>
        <v>PLUMBING</v>
      </c>
      <c r="D19" s="163">
        <f>Worksheet!J$399</f>
        <v>64570.116529999999</v>
      </c>
      <c r="E19" s="163">
        <f>Worksheet!M$399</f>
        <v>87784.949132879658</v>
      </c>
      <c r="F19" s="164">
        <f>D19*$D$31</f>
        <v>4035.632283125</v>
      </c>
      <c r="G19" s="164">
        <f>E19*$D$34</f>
        <v>0</v>
      </c>
      <c r="H19" s="164">
        <f t="shared" si="10"/>
        <v>156390.69794600469</v>
      </c>
      <c r="I19" s="164">
        <f>H19*$D$36</f>
        <v>15639.069794600469</v>
      </c>
      <c r="J19" s="164">
        <f>H19*$D$37</f>
        <v>15639.069794600469</v>
      </c>
      <c r="K19" s="216">
        <v>0</v>
      </c>
      <c r="L19" s="165">
        <f t="shared" si="6"/>
        <v>187668.83753520565</v>
      </c>
      <c r="M19" s="241">
        <f>L19/J$42</f>
        <v>1876.6883753520565</v>
      </c>
      <c r="N19" s="100"/>
      <c r="O19" s="93">
        <f t="shared" si="1"/>
        <v>7.5713943705669431E-2</v>
      </c>
      <c r="P19" s="54"/>
      <c r="Q19" s="54"/>
    </row>
    <row r="20" spans="1:17" ht="25.25" customHeight="1" x14ac:dyDescent="0.35">
      <c r="A20" s="100"/>
      <c r="B20" s="55" t="str">
        <f>Worksheet!D400</f>
        <v>23 00 00</v>
      </c>
      <c r="C20" s="56" t="str">
        <f>Worksheet!E400</f>
        <v>HEATING, VENTILATING &amp; AIR- CONDITIOINING</v>
      </c>
      <c r="D20" s="163">
        <f>Worksheet!J$443</f>
        <v>84333.774477500003</v>
      </c>
      <c r="E20" s="163">
        <f>Worksheet!M$443</f>
        <v>30429.950603848411</v>
      </c>
      <c r="F20" s="164">
        <f>D20*$D$31</f>
        <v>5270.8609048437502</v>
      </c>
      <c r="G20" s="164">
        <f>E20*$D$34</f>
        <v>0</v>
      </c>
      <c r="H20" s="164">
        <f t="shared" si="10"/>
        <v>120034.58598619216</v>
      </c>
      <c r="I20" s="164">
        <f>H20*$D$36</f>
        <v>12003.458598619218</v>
      </c>
      <c r="J20" s="164">
        <f>H20*$D$37</f>
        <v>12003.458598619218</v>
      </c>
      <c r="K20" s="216">
        <v>0</v>
      </c>
      <c r="L20" s="165">
        <f t="shared" si="6"/>
        <v>144041.50318343058</v>
      </c>
      <c r="M20" s="241">
        <f>L20/J$42</f>
        <v>1440.4150318343059</v>
      </c>
      <c r="N20" s="100"/>
      <c r="O20" s="93">
        <f t="shared" si="1"/>
        <v>5.8112739475270479E-2</v>
      </c>
      <c r="P20" s="54"/>
      <c r="Q20" s="54"/>
    </row>
    <row r="21" spans="1:17" ht="25.25" customHeight="1" x14ac:dyDescent="0.35">
      <c r="A21" s="103"/>
      <c r="B21" s="55" t="str">
        <f>Worksheet!D444</f>
        <v>26 00 00</v>
      </c>
      <c r="C21" s="56" t="str">
        <f>Worksheet!E444</f>
        <v>ELECTRICAL</v>
      </c>
      <c r="D21" s="163">
        <f>Worksheet!J$495</f>
        <v>46520.99</v>
      </c>
      <c r="E21" s="163">
        <f>Worksheet!M$495</f>
        <v>31934.145452880002</v>
      </c>
      <c r="F21" s="164">
        <f>D21*$D$31</f>
        <v>2907.5618749999999</v>
      </c>
      <c r="G21" s="164">
        <f>E21*$D$34</f>
        <v>0</v>
      </c>
      <c r="H21" s="164">
        <f t="shared" si="10"/>
        <v>81362.69732788</v>
      </c>
      <c r="I21" s="164">
        <f>H21*$D$36</f>
        <v>8136.2697327880005</v>
      </c>
      <c r="J21" s="164">
        <f>H21*$D$37</f>
        <v>8136.2697327880005</v>
      </c>
      <c r="K21" s="216">
        <v>0</v>
      </c>
      <c r="L21" s="165">
        <f t="shared" si="6"/>
        <v>97635.236793456002</v>
      </c>
      <c r="M21" s="241">
        <f>L21/J$42</f>
        <v>976.35236793455999</v>
      </c>
      <c r="N21" s="103"/>
      <c r="O21" s="93">
        <f t="shared" si="1"/>
        <v>3.9390390644278746E-2</v>
      </c>
      <c r="P21" s="54"/>
      <c r="Q21" s="54"/>
    </row>
    <row r="22" spans="1:17" ht="20.149999999999999" customHeight="1" x14ac:dyDescent="0.35">
      <c r="A22" s="101"/>
      <c r="B22" s="230"/>
      <c r="C22" s="231" t="str">
        <f>Worksheet!E496</f>
        <v>SITE &amp; INFRASTRUCTURE SUBGROUP WORK</v>
      </c>
      <c r="D22" s="232"/>
      <c r="E22" s="232"/>
      <c r="F22" s="233"/>
      <c r="G22" s="233"/>
      <c r="H22" s="233"/>
      <c r="I22" s="233"/>
      <c r="J22" s="233"/>
      <c r="K22" s="234"/>
      <c r="L22" s="234"/>
      <c r="M22" s="235"/>
      <c r="N22" s="101"/>
      <c r="O22" s="93" t="str">
        <f t="shared" si="1"/>
        <v/>
      </c>
      <c r="P22" s="54"/>
      <c r="Q22" s="54"/>
    </row>
    <row r="23" spans="1:17" ht="25.25" customHeight="1" x14ac:dyDescent="0.35">
      <c r="A23" s="100"/>
      <c r="B23" s="55" t="str">
        <f>Worksheet!D497</f>
        <v>31 00 00</v>
      </c>
      <c r="C23" s="56" t="str">
        <f>Worksheet!E497</f>
        <v>EARTHWORK</v>
      </c>
      <c r="D23" s="163">
        <f>Worksheet!J$505</f>
        <v>0</v>
      </c>
      <c r="E23" s="163">
        <f>Worksheet!$M505</f>
        <v>8471.9814814814818</v>
      </c>
      <c r="F23" s="164">
        <f>D23*$D$31</f>
        <v>0</v>
      </c>
      <c r="G23" s="164">
        <f>E23*$D$34</f>
        <v>0</v>
      </c>
      <c r="H23" s="164">
        <f t="shared" si="9"/>
        <v>8471.9814814814818</v>
      </c>
      <c r="I23" s="164">
        <f>H23*$D$36</f>
        <v>847.19814814814822</v>
      </c>
      <c r="J23" s="164">
        <f>H23*$D$37</f>
        <v>847.19814814814822</v>
      </c>
      <c r="K23" s="216">
        <v>0</v>
      </c>
      <c r="L23" s="165">
        <f t="shared" si="6"/>
        <v>10166.37777777778</v>
      </c>
      <c r="M23" s="241">
        <f>L23/J$43</f>
        <v>101.6637777777778</v>
      </c>
      <c r="N23" s="100"/>
      <c r="O23" s="93">
        <f t="shared" si="1"/>
        <v>4.1015682990674313E-3</v>
      </c>
      <c r="P23" s="54"/>
      <c r="Q23" s="54"/>
    </row>
    <row r="24" spans="1:17" ht="25.25" customHeight="1" x14ac:dyDescent="0.35">
      <c r="A24" s="100"/>
      <c r="B24" s="55" t="str">
        <f>Worksheet!D506</f>
        <v>32 00 00</v>
      </c>
      <c r="C24" s="56" t="str">
        <f>Worksheet!E506</f>
        <v>EXTERIOR IMPROVEMENTS</v>
      </c>
      <c r="D24" s="163">
        <f>Worksheet!J$514</f>
        <v>12694.576399999998</v>
      </c>
      <c r="E24" s="163">
        <f>Worksheet!$M514</f>
        <v>7562.3454499999998</v>
      </c>
      <c r="F24" s="164">
        <f>D24*$D$31</f>
        <v>793.41102499999988</v>
      </c>
      <c r="G24" s="164">
        <f>E24*$D$34</f>
        <v>0</v>
      </c>
      <c r="H24" s="164">
        <f t="shared" ref="H24" si="11">D24+E24+F24+G24</f>
        <v>21050.332875</v>
      </c>
      <c r="I24" s="164">
        <f>H24*$D$36</f>
        <v>2105.0332874999999</v>
      </c>
      <c r="J24" s="164">
        <f>H24*$D$37</f>
        <v>2105.0332874999999</v>
      </c>
      <c r="K24" s="216">
        <v>0</v>
      </c>
      <c r="L24" s="165">
        <f t="shared" si="6"/>
        <v>25260.399449999997</v>
      </c>
      <c r="M24" s="241">
        <f>L24/J$43</f>
        <v>252.60399449999997</v>
      </c>
      <c r="N24" s="100"/>
      <c r="O24" s="93">
        <f t="shared" si="1"/>
        <v>1.019116698893196E-2</v>
      </c>
      <c r="P24" s="54"/>
      <c r="Q24" s="54"/>
    </row>
    <row r="25" spans="1:17" ht="25.25" customHeight="1" x14ac:dyDescent="0.35">
      <c r="A25" s="103"/>
      <c r="B25" s="55" t="str">
        <f>Worksheet!D515</f>
        <v>33 00 00</v>
      </c>
      <c r="C25" s="56" t="str">
        <f>Worksheet!E515</f>
        <v>UTILITIES</v>
      </c>
      <c r="D25" s="163">
        <f>Worksheet!J$533</f>
        <v>12519.637900000002</v>
      </c>
      <c r="E25" s="163">
        <f>Worksheet!$M533</f>
        <v>11566.307432777778</v>
      </c>
      <c r="F25" s="164">
        <f>D25*$D$31</f>
        <v>782.4773687500001</v>
      </c>
      <c r="G25" s="164">
        <f>E25*$D$34</f>
        <v>0</v>
      </c>
      <c r="H25" s="164">
        <f t="shared" si="9"/>
        <v>24868.422701527779</v>
      </c>
      <c r="I25" s="164">
        <f>H25*$D$36</f>
        <v>2486.8422701527779</v>
      </c>
      <c r="J25" s="164">
        <f>H25*$D$37</f>
        <v>2486.8422701527779</v>
      </c>
      <c r="K25" s="216">
        <v>0</v>
      </c>
      <c r="L25" s="165">
        <f t="shared" si="6"/>
        <v>29842.107241833335</v>
      </c>
      <c r="M25" s="241">
        <f>L25/J$43</f>
        <v>298.42107241833332</v>
      </c>
      <c r="N25" s="103"/>
      <c r="O25" s="93">
        <f t="shared" si="1"/>
        <v>1.2039631392414075E-2</v>
      </c>
      <c r="P25" s="54"/>
      <c r="Q25" s="54"/>
    </row>
    <row r="26" spans="1:17" ht="20.149999999999999" customHeight="1" x14ac:dyDescent="0.35">
      <c r="A26" s="101"/>
      <c r="B26" s="57"/>
      <c r="C26" s="56"/>
      <c r="D26" s="163"/>
      <c r="E26" s="164"/>
      <c r="F26" s="164"/>
      <c r="G26" s="164"/>
      <c r="H26" s="164"/>
      <c r="I26" s="164"/>
      <c r="J26" s="164"/>
      <c r="K26" s="164"/>
      <c r="L26" s="165"/>
      <c r="M26" s="166"/>
      <c r="N26" s="101"/>
      <c r="O26" s="93" t="str">
        <f t="shared" si="1"/>
        <v/>
      </c>
      <c r="P26" s="54"/>
      <c r="Q26" s="54"/>
    </row>
    <row r="27" spans="1:17" ht="25.25" customHeight="1" thickBot="1" x14ac:dyDescent="0.4">
      <c r="A27" s="100"/>
      <c r="B27" s="227"/>
      <c r="C27" s="228" t="s">
        <v>23</v>
      </c>
      <c r="D27" s="229">
        <f t="shared" ref="D27:M27" si="12">SUM(D6:D26)</f>
        <v>844809.07562647329</v>
      </c>
      <c r="E27" s="229">
        <f t="shared" si="12"/>
        <v>1167937.2074596535</v>
      </c>
      <c r="F27" s="229">
        <f t="shared" si="12"/>
        <v>52800.567226654581</v>
      </c>
      <c r="G27" s="229">
        <f t="shared" si="12"/>
        <v>0</v>
      </c>
      <c r="H27" s="229">
        <f t="shared" si="12"/>
        <v>2065546.8503127815</v>
      </c>
      <c r="I27" s="229">
        <f t="shared" si="12"/>
        <v>206554.68503127818</v>
      </c>
      <c r="J27" s="229">
        <f t="shared" si="12"/>
        <v>206554.68503127818</v>
      </c>
      <c r="K27" s="225">
        <f t="shared" si="12"/>
        <v>0</v>
      </c>
      <c r="L27" s="236">
        <f t="shared" si="12"/>
        <v>2478656.2203753372</v>
      </c>
      <c r="M27" s="242">
        <f t="shared" si="12"/>
        <v>24786.562203753372</v>
      </c>
      <c r="N27" s="100"/>
      <c r="O27" s="93">
        <f>IF(M27=0,"",(SUM(O6:O26)))</f>
        <v>1.0000000000000002</v>
      </c>
      <c r="P27" s="54"/>
      <c r="Q27" s="54"/>
    </row>
    <row r="28" spans="1:17" ht="25.25" customHeight="1" thickBot="1" x14ac:dyDescent="0.4">
      <c r="A28" s="107"/>
      <c r="B28" s="52"/>
      <c r="C28" s="224"/>
      <c r="E28" s="224"/>
      <c r="F28" s="52"/>
      <c r="G28" s="224"/>
      <c r="H28" s="52"/>
      <c r="I28" s="224"/>
      <c r="J28" s="52"/>
      <c r="K28" s="224"/>
      <c r="L28" s="52"/>
      <c r="M28" s="224"/>
      <c r="N28" s="103"/>
    </row>
    <row r="29" spans="1:17" ht="30" customHeight="1" thickBot="1" x14ac:dyDescent="0.4">
      <c r="A29" s="101"/>
      <c r="B29" s="294" t="s">
        <v>15</v>
      </c>
      <c r="C29" s="295"/>
      <c r="D29" s="295"/>
      <c r="E29" s="296"/>
      <c r="F29" s="100"/>
      <c r="G29" s="294" t="s">
        <v>41</v>
      </c>
      <c r="H29" s="295"/>
      <c r="I29" s="295"/>
      <c r="J29" s="295"/>
      <c r="K29" s="295"/>
      <c r="L29" s="296"/>
      <c r="M29" s="101"/>
      <c r="N29" s="101"/>
    </row>
    <row r="30" spans="1:17" ht="25.25" customHeight="1" thickBot="1" x14ac:dyDescent="0.4">
      <c r="A30" s="100"/>
      <c r="B30" s="60">
        <v>1</v>
      </c>
      <c r="C30" s="41" t="s">
        <v>25</v>
      </c>
      <c r="D30" s="8"/>
      <c r="E30" s="167">
        <f>D27</f>
        <v>844809.07562647329</v>
      </c>
      <c r="F30" s="104"/>
      <c r="G30" s="55">
        <v>1</v>
      </c>
      <c r="H30" s="297" t="s">
        <v>39</v>
      </c>
      <c r="I30" s="297"/>
      <c r="J30" s="297"/>
      <c r="K30" s="61"/>
      <c r="L30" s="15">
        <f>Worksheet!P$535</f>
        <v>10931.911571479332</v>
      </c>
      <c r="M30" s="100"/>
      <c r="N30" s="100"/>
    </row>
    <row r="31" spans="1:17" ht="25.25" customHeight="1" thickBot="1" x14ac:dyDescent="0.4">
      <c r="A31" s="100"/>
      <c r="B31" s="57"/>
      <c r="C31" s="62" t="s">
        <v>27</v>
      </c>
      <c r="D31" s="217">
        <v>6.25E-2</v>
      </c>
      <c r="E31" s="168">
        <f>E30*D31</f>
        <v>52800.567226654581</v>
      </c>
      <c r="F31" s="99"/>
      <c r="G31" s="57">
        <v>2</v>
      </c>
      <c r="H31" s="302" t="s">
        <v>40</v>
      </c>
      <c r="I31" s="302"/>
      <c r="J31" s="302"/>
      <c r="K31" s="63"/>
      <c r="L31" s="21">
        <f>L30/8</f>
        <v>1366.4889464349164</v>
      </c>
      <c r="M31" s="100"/>
      <c r="N31" s="100"/>
    </row>
    <row r="32" spans="1:17" ht="25.25" customHeight="1" x14ac:dyDescent="0.35">
      <c r="A32" s="103"/>
      <c r="B32" s="57"/>
      <c r="C32" s="64" t="s">
        <v>32</v>
      </c>
      <c r="D32" s="11"/>
      <c r="E32" s="218"/>
      <c r="F32" s="98"/>
      <c r="G32" s="57">
        <v>3</v>
      </c>
      <c r="H32" s="302" t="s">
        <v>35</v>
      </c>
      <c r="I32" s="302"/>
      <c r="J32" s="302"/>
      <c r="K32" s="63"/>
      <c r="L32" s="14">
        <f>J33+J34+J35</f>
        <v>5</v>
      </c>
      <c r="M32" s="103"/>
      <c r="N32" s="103"/>
    </row>
    <row r="33" spans="1:19" ht="25.25" customHeight="1" thickBot="1" x14ac:dyDescent="0.4">
      <c r="A33" s="101"/>
      <c r="B33" s="57">
        <v>2</v>
      </c>
      <c r="C33" s="42" t="s">
        <v>26</v>
      </c>
      <c r="D33" s="9"/>
      <c r="E33" s="169">
        <f>E27</f>
        <v>1167937.2074596535</v>
      </c>
      <c r="F33" s="104"/>
      <c r="G33" s="57">
        <v>4</v>
      </c>
      <c r="H33" s="302" t="s">
        <v>48</v>
      </c>
      <c r="I33" s="302"/>
      <c r="J33" s="65">
        <v>3</v>
      </c>
      <c r="K33" s="66"/>
      <c r="L33" s="67"/>
      <c r="M33" s="101"/>
      <c r="N33" s="101"/>
      <c r="O33" s="54"/>
      <c r="P33" s="54"/>
      <c r="Q33" s="54"/>
    </row>
    <row r="34" spans="1:19" ht="25.25" customHeight="1" thickBot="1" x14ac:dyDescent="0.4">
      <c r="A34" s="100"/>
      <c r="B34" s="57"/>
      <c r="C34" s="62" t="s">
        <v>19</v>
      </c>
      <c r="D34" s="217"/>
      <c r="E34" s="168">
        <f>E33*D34</f>
        <v>0</v>
      </c>
      <c r="F34" s="104"/>
      <c r="G34" s="57">
        <v>5</v>
      </c>
      <c r="H34" s="302" t="s">
        <v>37</v>
      </c>
      <c r="I34" s="302"/>
      <c r="J34" s="65">
        <v>1</v>
      </c>
      <c r="K34" s="66"/>
      <c r="L34" s="67"/>
      <c r="M34" s="100"/>
      <c r="N34" s="100"/>
      <c r="O34" s="54"/>
      <c r="P34" s="54"/>
      <c r="Q34" s="54"/>
    </row>
    <row r="35" spans="1:19" ht="25.25" customHeight="1" thickBot="1" x14ac:dyDescent="0.4">
      <c r="A35" s="100"/>
      <c r="B35" s="57">
        <v>3</v>
      </c>
      <c r="C35" s="42" t="s">
        <v>20</v>
      </c>
      <c r="D35" s="9"/>
      <c r="E35" s="169">
        <f>SUM(E30:E34)</f>
        <v>2065546.8503127815</v>
      </c>
      <c r="F35" s="99"/>
      <c r="G35" s="57">
        <v>6</v>
      </c>
      <c r="H35" s="302" t="s">
        <v>38</v>
      </c>
      <c r="I35" s="302"/>
      <c r="J35" s="65">
        <v>1</v>
      </c>
      <c r="K35" s="66"/>
      <c r="L35" s="67"/>
      <c r="M35" s="100"/>
      <c r="N35" s="100"/>
      <c r="O35" s="54"/>
      <c r="P35" s="54"/>
      <c r="Q35" s="54"/>
    </row>
    <row r="36" spans="1:19" ht="25.25" customHeight="1" thickBot="1" x14ac:dyDescent="0.4">
      <c r="A36" s="103"/>
      <c r="B36" s="57"/>
      <c r="C36" s="62" t="s">
        <v>28</v>
      </c>
      <c r="D36" s="17">
        <v>0.1</v>
      </c>
      <c r="E36" s="168">
        <f>E$35*D$36</f>
        <v>206554.68503127818</v>
      </c>
      <c r="F36" s="98"/>
      <c r="G36" s="57">
        <v>7</v>
      </c>
      <c r="H36" s="302" t="s">
        <v>14</v>
      </c>
      <c r="I36" s="302"/>
      <c r="J36" s="302"/>
      <c r="K36" s="63"/>
      <c r="L36" s="67">
        <f>(L33*J33/L32)+(L34*J34/L32)+(L35*J35/L32)</f>
        <v>0</v>
      </c>
      <c r="M36" s="103"/>
      <c r="N36" s="103"/>
      <c r="O36" s="54"/>
      <c r="P36" s="54"/>
      <c r="Q36" s="54"/>
      <c r="S36" s="54"/>
    </row>
    <row r="37" spans="1:19" ht="25.25" customHeight="1" thickBot="1" x14ac:dyDescent="0.4">
      <c r="A37" s="101"/>
      <c r="B37" s="57"/>
      <c r="C37" s="62" t="s">
        <v>33</v>
      </c>
      <c r="D37" s="17">
        <v>0.1</v>
      </c>
      <c r="E37" s="168">
        <f>E$35*D$37</f>
        <v>206554.68503127818</v>
      </c>
      <c r="F37" s="104"/>
      <c r="G37" s="58">
        <v>8</v>
      </c>
      <c r="H37" s="301" t="s">
        <v>178</v>
      </c>
      <c r="I37" s="301"/>
      <c r="J37" s="301"/>
      <c r="K37" s="68"/>
      <c r="L37" s="220">
        <f>L36</f>
        <v>0</v>
      </c>
      <c r="M37" s="101"/>
      <c r="N37" s="101"/>
      <c r="O37" s="54"/>
      <c r="P37" s="54"/>
      <c r="Q37" s="54"/>
    </row>
    <row r="38" spans="1:19" ht="25.25" customHeight="1" thickBot="1" x14ac:dyDescent="0.4">
      <c r="A38" s="100"/>
      <c r="B38" s="57">
        <v>4</v>
      </c>
      <c r="C38" s="42" t="s">
        <v>167</v>
      </c>
      <c r="D38" s="10"/>
      <c r="E38" s="169">
        <f>SUM(E35:E37)</f>
        <v>2478656.2203753376</v>
      </c>
      <c r="F38" s="103"/>
      <c r="G38" s="107"/>
      <c r="H38" s="94"/>
      <c r="I38" s="107"/>
      <c r="J38" s="94"/>
      <c r="K38" s="107"/>
      <c r="L38" s="94"/>
      <c r="M38" s="100"/>
      <c r="N38" s="100"/>
      <c r="P38" s="54"/>
      <c r="Q38" s="54"/>
    </row>
    <row r="39" spans="1:19" ht="25.25" customHeight="1" thickBot="1" x14ac:dyDescent="0.4">
      <c r="A39" s="100"/>
      <c r="B39" s="57"/>
      <c r="C39" s="62" t="s">
        <v>121</v>
      </c>
      <c r="D39" s="217"/>
      <c r="E39" s="168">
        <f>D39*E38</f>
        <v>0</v>
      </c>
      <c r="F39" s="101"/>
      <c r="G39" s="221"/>
      <c r="H39" s="291" t="s">
        <v>193</v>
      </c>
      <c r="I39" s="292"/>
      <c r="J39" s="292"/>
      <c r="K39" s="292"/>
      <c r="L39" s="293"/>
      <c r="M39" s="100"/>
      <c r="N39" s="100"/>
      <c r="P39" s="54"/>
      <c r="Q39" s="54"/>
    </row>
    <row r="40" spans="1:19" ht="25.25" customHeight="1" thickBot="1" x14ac:dyDescent="0.4">
      <c r="A40" s="103"/>
      <c r="B40" s="57"/>
      <c r="C40" s="64" t="s">
        <v>122</v>
      </c>
      <c r="D40" s="12"/>
      <c r="E40" s="219">
        <v>0</v>
      </c>
      <c r="F40" s="100"/>
      <c r="G40" s="214"/>
      <c r="H40" s="291" t="s">
        <v>189</v>
      </c>
      <c r="I40" s="292"/>
      <c r="J40" s="292"/>
      <c r="K40" s="292"/>
      <c r="L40" s="293"/>
      <c r="M40" s="103"/>
      <c r="N40" s="103"/>
      <c r="P40" s="54"/>
      <c r="Q40" s="54"/>
    </row>
    <row r="41" spans="1:19" ht="31" customHeight="1" thickBot="1" x14ac:dyDescent="0.4">
      <c r="A41" s="101"/>
      <c r="B41" s="57"/>
      <c r="C41" s="69" t="s">
        <v>123</v>
      </c>
      <c r="D41" s="12"/>
      <c r="E41" s="219">
        <v>0</v>
      </c>
      <c r="F41" s="100"/>
      <c r="G41" s="104"/>
      <c r="H41" s="104"/>
      <c r="J41" s="101"/>
      <c r="L41" s="100"/>
      <c r="M41" s="100"/>
      <c r="N41" s="100"/>
      <c r="Q41" s="54"/>
      <c r="R41" s="54"/>
      <c r="S41" s="54"/>
    </row>
    <row r="42" spans="1:19" ht="31" customHeight="1" thickBot="1" x14ac:dyDescent="0.4">
      <c r="A42" s="100"/>
      <c r="B42" s="57"/>
      <c r="C42" s="64" t="s">
        <v>124</v>
      </c>
      <c r="D42" s="12"/>
      <c r="E42" s="219">
        <v>0</v>
      </c>
      <c r="F42" s="103"/>
      <c r="G42" s="99"/>
      <c r="H42" s="104"/>
      <c r="I42" s="243" t="s">
        <v>190</v>
      </c>
      <c r="J42" s="244">
        <v>100</v>
      </c>
      <c r="K42" s="245" t="s">
        <v>141</v>
      </c>
      <c r="L42" s="100"/>
      <c r="M42" s="100"/>
      <c r="N42" s="100"/>
      <c r="Q42" s="54"/>
      <c r="R42" s="54"/>
      <c r="S42" s="54"/>
    </row>
    <row r="43" spans="1:19" ht="25.25" customHeight="1" thickBot="1" x14ac:dyDescent="0.4">
      <c r="A43" s="100"/>
      <c r="B43" s="57"/>
      <c r="C43" s="64" t="s">
        <v>125</v>
      </c>
      <c r="D43" s="12"/>
      <c r="E43" s="219">
        <v>0</v>
      </c>
      <c r="F43" s="101"/>
      <c r="G43" s="98"/>
      <c r="H43" s="107"/>
      <c r="I43" s="243" t="s">
        <v>185</v>
      </c>
      <c r="J43" s="244">
        <v>100</v>
      </c>
      <c r="K43" s="245" t="s">
        <v>141</v>
      </c>
      <c r="L43" s="103"/>
      <c r="M43" s="100"/>
      <c r="N43" s="100"/>
      <c r="P43" s="54"/>
      <c r="Q43" s="54"/>
    </row>
    <row r="44" spans="1:19" ht="25.25" customHeight="1" x14ac:dyDescent="0.35">
      <c r="A44" s="103"/>
      <c r="B44" s="57"/>
      <c r="C44" s="64" t="s">
        <v>126</v>
      </c>
      <c r="D44" s="12"/>
      <c r="E44" s="219">
        <v>0</v>
      </c>
      <c r="F44" s="100"/>
      <c r="G44" s="100"/>
      <c r="H44" s="107"/>
      <c r="I44" s="94"/>
      <c r="J44" s="101"/>
      <c r="K44" s="100"/>
      <c r="L44" s="101"/>
      <c r="M44" s="103"/>
      <c r="N44" s="103"/>
      <c r="P44" s="54"/>
      <c r="Q44" s="54"/>
    </row>
    <row r="45" spans="1:19" ht="25.25" customHeight="1" x14ac:dyDescent="0.35">
      <c r="A45" s="101"/>
      <c r="B45" s="57"/>
      <c r="C45" s="64" t="s">
        <v>127</v>
      </c>
      <c r="D45" s="12"/>
      <c r="E45" s="219">
        <v>0</v>
      </c>
      <c r="F45" s="104"/>
      <c r="G45" s="100"/>
      <c r="H45" s="100"/>
      <c r="I45" s="97"/>
      <c r="J45" s="100"/>
      <c r="K45" s="101"/>
      <c r="L45" s="100"/>
      <c r="M45" s="100"/>
      <c r="N45" s="101"/>
      <c r="P45" s="54"/>
      <c r="Q45" s="54"/>
    </row>
    <row r="46" spans="1:19" ht="25.25" customHeight="1" x14ac:dyDescent="0.35">
      <c r="A46" s="100"/>
      <c r="B46" s="57"/>
      <c r="C46" s="64" t="s">
        <v>128</v>
      </c>
      <c r="D46" s="12"/>
      <c r="E46" s="219">
        <v>0</v>
      </c>
      <c r="F46" s="104"/>
      <c r="G46" s="103"/>
      <c r="H46" s="96"/>
      <c r="I46" s="107"/>
      <c r="J46" s="94"/>
      <c r="K46" s="100"/>
      <c r="L46" s="100"/>
      <c r="M46" s="100"/>
      <c r="N46" s="100"/>
      <c r="P46" s="54"/>
      <c r="Q46" s="54"/>
    </row>
    <row r="47" spans="1:19" ht="25.25" customHeight="1" x14ac:dyDescent="0.35">
      <c r="A47" s="100"/>
      <c r="B47" s="57"/>
      <c r="C47" s="64" t="s">
        <v>29</v>
      </c>
      <c r="D47" s="12"/>
      <c r="E47" s="219">
        <v>0</v>
      </c>
      <c r="F47" s="99"/>
      <c r="G47" s="101"/>
      <c r="H47" s="101"/>
      <c r="I47" s="105"/>
      <c r="J47" s="100"/>
      <c r="K47" s="100"/>
      <c r="L47" s="103"/>
      <c r="M47" s="100"/>
      <c r="N47" s="100"/>
      <c r="P47" s="54"/>
      <c r="Q47" s="54"/>
    </row>
    <row r="48" spans="1:19" ht="25.25" customHeight="1" x14ac:dyDescent="0.35">
      <c r="A48" s="103"/>
      <c r="B48" s="57"/>
      <c r="C48" s="64" t="s">
        <v>36</v>
      </c>
      <c r="D48" s="12"/>
      <c r="E48" s="219">
        <v>0</v>
      </c>
      <c r="F48" s="98"/>
      <c r="G48" s="100"/>
      <c r="H48" s="100"/>
      <c r="I48" s="106"/>
      <c r="J48" s="101"/>
      <c r="K48" s="100"/>
      <c r="L48" s="103"/>
      <c r="M48" s="100"/>
      <c r="N48" s="103"/>
      <c r="P48" s="54"/>
      <c r="Q48" s="54"/>
    </row>
    <row r="49" spans="1:17" ht="25.25" customHeight="1" x14ac:dyDescent="0.35">
      <c r="A49" s="101"/>
      <c r="B49" s="57"/>
      <c r="C49" s="64" t="s">
        <v>30</v>
      </c>
      <c r="D49" s="13"/>
      <c r="E49" s="219">
        <v>0</v>
      </c>
      <c r="F49" s="104"/>
      <c r="G49" s="100"/>
      <c r="H49" s="100"/>
      <c r="I49" s="101"/>
      <c r="J49" s="102"/>
      <c r="K49" s="100"/>
      <c r="L49" s="103"/>
      <c r="M49" s="100"/>
      <c r="N49" s="98"/>
      <c r="P49" s="54"/>
      <c r="Q49" s="54"/>
    </row>
    <row r="50" spans="1:17" ht="25.25" customHeight="1" x14ac:dyDescent="0.35">
      <c r="A50" s="100"/>
      <c r="B50" s="57"/>
      <c r="C50" s="222" t="s">
        <v>31</v>
      </c>
      <c r="D50" s="223"/>
      <c r="E50" s="251">
        <f>D50*E38</f>
        <v>0</v>
      </c>
      <c r="F50" s="104"/>
      <c r="G50" s="103"/>
      <c r="H50" s="103"/>
      <c r="I50" s="100"/>
      <c r="J50" s="102"/>
      <c r="K50" s="100"/>
      <c r="L50" s="103"/>
      <c r="M50" s="100"/>
      <c r="N50" s="104"/>
      <c r="O50" s="54"/>
      <c r="P50" s="54"/>
      <c r="Q50" s="54"/>
    </row>
    <row r="51" spans="1:17" ht="25.25" customHeight="1" thickBot="1" x14ac:dyDescent="0.4">
      <c r="A51" s="100"/>
      <c r="B51" s="58"/>
      <c r="C51" s="59"/>
      <c r="D51" s="108"/>
      <c r="E51" s="170"/>
      <c r="F51" s="99"/>
      <c r="G51" s="101"/>
      <c r="H51" s="101"/>
      <c r="I51" s="100"/>
      <c r="J51" s="95"/>
      <c r="K51" s="100"/>
      <c r="L51" s="103"/>
      <c r="M51" s="100"/>
      <c r="N51" s="104"/>
      <c r="O51" s="54"/>
      <c r="P51" s="54"/>
      <c r="Q51" s="54"/>
    </row>
    <row r="52" spans="1:17" ht="25.25" customHeight="1" thickBot="1" x14ac:dyDescent="0.4">
      <c r="A52" s="103"/>
      <c r="B52" s="70">
        <v>5</v>
      </c>
      <c r="C52" s="43" t="s">
        <v>34</v>
      </c>
      <c r="D52" s="16"/>
      <c r="E52" s="171">
        <f>SUM(E38:E51)</f>
        <v>2478656.2203753376</v>
      </c>
      <c r="F52" s="101"/>
      <c r="G52" s="100"/>
      <c r="H52" s="100"/>
      <c r="I52" s="103"/>
      <c r="J52" s="96"/>
      <c r="K52" s="100"/>
      <c r="L52" s="103"/>
      <c r="M52" s="100"/>
      <c r="N52" s="99"/>
      <c r="O52" s="54"/>
      <c r="P52" s="54"/>
      <c r="Q52" s="54"/>
    </row>
    <row r="53" spans="1:17" x14ac:dyDescent="0.35">
      <c r="A53" s="101"/>
      <c r="B53" s="101"/>
      <c r="C53" s="101"/>
      <c r="D53" s="101"/>
      <c r="E53" s="101"/>
      <c r="F53" s="100"/>
      <c r="G53" s="100"/>
      <c r="H53" s="100"/>
      <c r="I53" s="101"/>
      <c r="J53" s="100"/>
      <c r="K53" s="100"/>
      <c r="L53" s="103"/>
      <c r="M53" s="100"/>
      <c r="N53" s="101"/>
    </row>
    <row r="54" spans="1:17" x14ac:dyDescent="0.35">
      <c r="A54" s="100"/>
      <c r="B54" s="100"/>
      <c r="C54" s="100"/>
      <c r="D54" s="100"/>
      <c r="E54" s="100"/>
      <c r="F54" s="100"/>
      <c r="G54" s="103"/>
      <c r="H54" s="103"/>
      <c r="I54" s="100"/>
      <c r="J54" s="100"/>
      <c r="K54" s="101"/>
      <c r="L54" s="100"/>
      <c r="M54" s="101"/>
      <c r="N54" s="100"/>
    </row>
  </sheetData>
  <mergeCells count="14">
    <mergeCell ref="A1:N1"/>
    <mergeCell ref="H40:L40"/>
    <mergeCell ref="B29:E29"/>
    <mergeCell ref="G29:L29"/>
    <mergeCell ref="H30:J30"/>
    <mergeCell ref="B3:M3"/>
    <mergeCell ref="H39:L39"/>
    <mergeCell ref="H37:J37"/>
    <mergeCell ref="H31:J31"/>
    <mergeCell ref="H32:J32"/>
    <mergeCell ref="H36:J36"/>
    <mergeCell ref="H33:I33"/>
    <mergeCell ref="H34:I34"/>
    <mergeCell ref="H35:I3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34" orientation="landscape" r:id="rId1"/>
  <ignoredErrors>
    <ignoredError sqref="E34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A50021"/>
    <pageSetUpPr fitToPage="1"/>
  </sheetPr>
  <dimension ref="A1:T546"/>
  <sheetViews>
    <sheetView view="pageBreakPreview" zoomScale="50" zoomScaleNormal="85" zoomScaleSheetLayoutView="40" workbookViewId="0">
      <selection activeCell="E4" sqref="E4"/>
    </sheetView>
  </sheetViews>
  <sheetFormatPr defaultColWidth="8.81640625" defaultRowHeight="14.5" x14ac:dyDescent="0.35"/>
  <cols>
    <col min="1" max="1" width="6.1796875" style="52" customWidth="1"/>
    <col min="2" max="3" width="15.81640625" style="52" customWidth="1"/>
    <col min="4" max="4" width="13.81640625" style="77" customWidth="1"/>
    <col min="5" max="5" width="82.81640625" style="78" customWidth="1"/>
    <col min="6" max="6" width="15.81640625" style="79" customWidth="1"/>
    <col min="7" max="8" width="15.81640625" style="53" customWidth="1"/>
    <col min="9" max="9" width="15.81640625" style="79" customWidth="1"/>
    <col min="10" max="12" width="15.81640625" style="80" customWidth="1"/>
    <col min="13" max="14" width="15.81640625" style="39" customWidth="1"/>
    <col min="15" max="15" width="15.81640625" style="80" customWidth="1"/>
    <col min="16" max="16" width="15.81640625" style="40" customWidth="1"/>
    <col min="17" max="17" width="15.81640625" style="3" customWidth="1"/>
    <col min="18" max="18" width="15.81640625" style="52" customWidth="1"/>
    <col min="19" max="19" width="8.984375E-2" style="52" customWidth="1"/>
    <col min="20" max="20" width="14.54296875" style="52" bestFit="1" customWidth="1"/>
    <col min="21" max="16384" width="8.81640625" style="52"/>
  </cols>
  <sheetData>
    <row r="1" spans="1:20" ht="45" customHeight="1" thickBot="1" x14ac:dyDescent="0.4">
      <c r="A1" s="342"/>
      <c r="B1" s="343"/>
      <c r="C1" s="343"/>
      <c r="D1" s="344"/>
      <c r="E1" s="353" t="s">
        <v>646</v>
      </c>
      <c r="F1" s="354"/>
      <c r="G1" s="354"/>
      <c r="H1" s="354"/>
      <c r="I1" s="354"/>
      <c r="J1" s="354"/>
      <c r="K1" s="354"/>
      <c r="L1" s="355"/>
      <c r="M1" s="325" t="s">
        <v>150</v>
      </c>
      <c r="N1" s="326"/>
      <c r="O1" s="327">
        <f>SUM(R$537+R$538)+('Bid Recap &amp; Summary'!E$31+'Bid Recap &amp; Summary'!E$32+'Bid Recap &amp; Summary'!E$34)</f>
        <v>1637870.9120775033</v>
      </c>
      <c r="P1" s="328"/>
      <c r="Q1" s="328"/>
      <c r="R1" s="329"/>
    </row>
    <row r="2" spans="1:20" ht="45" customHeight="1" thickBot="1" x14ac:dyDescent="0.4">
      <c r="A2" s="345"/>
      <c r="B2" s="346"/>
      <c r="C2" s="346"/>
      <c r="D2" s="347"/>
      <c r="E2" s="330" t="s">
        <v>647</v>
      </c>
      <c r="F2" s="331"/>
      <c r="G2" s="331"/>
      <c r="H2" s="331"/>
      <c r="I2" s="331"/>
      <c r="J2" s="331"/>
      <c r="K2" s="331"/>
      <c r="L2" s="331"/>
      <c r="M2" s="325" t="s">
        <v>145</v>
      </c>
      <c r="N2" s="326"/>
      <c r="O2" s="327">
        <f>O$1*'Bid Recap &amp; Summary'!D$36</f>
        <v>163787.09120775035</v>
      </c>
      <c r="P2" s="328"/>
      <c r="Q2" s="328"/>
      <c r="R2" s="329"/>
    </row>
    <row r="3" spans="1:20" ht="45" customHeight="1" thickBot="1" x14ac:dyDescent="0.4">
      <c r="A3" s="345"/>
      <c r="B3" s="346"/>
      <c r="C3" s="346"/>
      <c r="D3" s="347"/>
      <c r="E3" s="81" t="s">
        <v>147</v>
      </c>
      <c r="F3" s="331" t="s">
        <v>645</v>
      </c>
      <c r="G3" s="331"/>
      <c r="H3" s="331"/>
      <c r="I3" s="331"/>
      <c r="J3" s="331"/>
      <c r="K3" s="331"/>
      <c r="L3" s="332"/>
      <c r="M3" s="325" t="s">
        <v>146</v>
      </c>
      <c r="N3" s="326"/>
      <c r="O3" s="327">
        <f>O$1*'Bid Recap &amp; Summary'!D$37</f>
        <v>163787.09120775035</v>
      </c>
      <c r="P3" s="328"/>
      <c r="Q3" s="328"/>
      <c r="R3" s="329"/>
    </row>
    <row r="4" spans="1:20" ht="45" customHeight="1" thickBot="1" x14ac:dyDescent="0.4">
      <c r="A4" s="345"/>
      <c r="B4" s="346"/>
      <c r="C4" s="346"/>
      <c r="D4" s="347"/>
      <c r="E4" s="81" t="s">
        <v>148</v>
      </c>
      <c r="F4" s="331" t="s">
        <v>149</v>
      </c>
      <c r="G4" s="331"/>
      <c r="H4" s="331"/>
      <c r="I4" s="331"/>
      <c r="J4" s="331"/>
      <c r="K4" s="331"/>
      <c r="L4" s="332"/>
      <c r="M4" s="356" t="s">
        <v>143</v>
      </c>
      <c r="N4" s="357"/>
      <c r="O4" s="327">
        <f>SUM('Bid Recap &amp; Summary'!E$39:E$51)</f>
        <v>0</v>
      </c>
      <c r="P4" s="328"/>
      <c r="Q4" s="328"/>
      <c r="R4" s="329"/>
    </row>
    <row r="5" spans="1:20" ht="40" customHeight="1" thickBot="1" x14ac:dyDescent="0.4">
      <c r="A5" s="348"/>
      <c r="B5" s="349"/>
      <c r="C5" s="349"/>
      <c r="D5" s="350"/>
      <c r="E5" s="150" t="s">
        <v>111</v>
      </c>
      <c r="F5" s="358">
        <v>45999</v>
      </c>
      <c r="G5" s="358"/>
      <c r="H5" s="358"/>
      <c r="I5" s="358"/>
      <c r="J5" s="358"/>
      <c r="K5" s="358"/>
      <c r="L5" s="359"/>
      <c r="M5" s="313" t="s">
        <v>160</v>
      </c>
      <c r="N5" s="314"/>
      <c r="O5" s="339">
        <f>SUM(O$1:Q$4)</f>
        <v>1965445.094493004</v>
      </c>
      <c r="P5" s="340"/>
      <c r="Q5" s="340"/>
      <c r="R5" s="341"/>
    </row>
    <row r="6" spans="1:20" s="254" customFormat="1" ht="30" customHeight="1" thickBot="1" x14ac:dyDescent="0.4">
      <c r="A6" s="330"/>
      <c r="B6" s="331"/>
      <c r="C6" s="331"/>
      <c r="D6" s="331"/>
      <c r="E6" s="331"/>
      <c r="F6" s="332"/>
      <c r="G6" s="252"/>
      <c r="H6" s="333" t="s">
        <v>197</v>
      </c>
      <c r="I6" s="334"/>
      <c r="J6" s="334"/>
      <c r="K6" s="335"/>
      <c r="L6" s="336" t="s">
        <v>198</v>
      </c>
      <c r="M6" s="337"/>
      <c r="N6" s="337"/>
      <c r="O6" s="337"/>
      <c r="P6" s="337"/>
      <c r="Q6" s="338"/>
      <c r="R6" s="253"/>
      <c r="T6" s="286"/>
    </row>
    <row r="7" spans="1:20" ht="50" customHeight="1" thickBot="1" x14ac:dyDescent="0.4">
      <c r="A7" s="28" t="s">
        <v>0</v>
      </c>
      <c r="B7" s="28" t="s">
        <v>10</v>
      </c>
      <c r="C7" s="29" t="s">
        <v>11</v>
      </c>
      <c r="D7" s="30" t="s">
        <v>43</v>
      </c>
      <c r="E7" s="28" t="s">
        <v>1</v>
      </c>
      <c r="F7" s="31" t="s">
        <v>2</v>
      </c>
      <c r="G7" s="28" t="s">
        <v>3</v>
      </c>
      <c r="H7" s="28" t="s">
        <v>131</v>
      </c>
      <c r="I7" s="31" t="s">
        <v>129</v>
      </c>
      <c r="J7" s="32" t="s">
        <v>9</v>
      </c>
      <c r="K7" s="32" t="s">
        <v>4</v>
      </c>
      <c r="L7" s="32" t="s">
        <v>130</v>
      </c>
      <c r="M7" s="161" t="s">
        <v>6</v>
      </c>
      <c r="N7" s="161" t="s">
        <v>7</v>
      </c>
      <c r="O7" s="32" t="s">
        <v>5</v>
      </c>
      <c r="P7" s="162" t="s">
        <v>186</v>
      </c>
      <c r="Q7" s="162" t="s">
        <v>8</v>
      </c>
      <c r="R7" s="162"/>
    </row>
    <row r="8" spans="1:20" ht="30" customHeight="1" thickBot="1" x14ac:dyDescent="0.4">
      <c r="A8" s="195"/>
      <c r="B8" s="196"/>
      <c r="C8" s="197"/>
      <c r="D8" s="197"/>
      <c r="E8" s="198" t="s">
        <v>175</v>
      </c>
      <c r="F8" s="199"/>
      <c r="G8" s="199"/>
      <c r="H8" s="196"/>
      <c r="I8" s="199"/>
      <c r="J8" s="196"/>
      <c r="K8" s="196"/>
      <c r="L8" s="196"/>
      <c r="M8" s="196"/>
      <c r="N8" s="196"/>
      <c r="O8" s="196"/>
      <c r="P8" s="196"/>
      <c r="Q8" s="196"/>
      <c r="R8" s="200"/>
    </row>
    <row r="9" spans="1:20" ht="25" customHeight="1" thickBot="1" x14ac:dyDescent="0.4">
      <c r="A9" s="181"/>
      <c r="B9" s="182"/>
      <c r="C9" s="183" t="s">
        <v>120</v>
      </c>
      <c r="D9" s="193" t="s">
        <v>132</v>
      </c>
      <c r="E9" s="193" t="s">
        <v>133</v>
      </c>
      <c r="F9" s="194"/>
      <c r="G9" s="184"/>
      <c r="H9" s="182"/>
      <c r="I9" s="184"/>
      <c r="J9" s="182"/>
      <c r="K9" s="182"/>
      <c r="L9" s="202">
        <v>75</v>
      </c>
      <c r="M9" s="182"/>
      <c r="N9" s="182"/>
      <c r="O9" s="182"/>
      <c r="P9" s="182"/>
      <c r="Q9" s="182"/>
      <c r="R9" s="185"/>
      <c r="S9" s="275">
        <f>SUM(Q21:Q533)</f>
        <v>1466028.8058183962</v>
      </c>
    </row>
    <row r="10" spans="1:20" ht="14.5" customHeight="1" x14ac:dyDescent="0.35">
      <c r="A10" s="110" t="str">
        <f>IF(TRIM(G10)&lt;&gt;"",COUNTA(G8:$G$10)&amp;"","")</f>
        <v/>
      </c>
      <c r="B10" s="111"/>
      <c r="C10" s="111"/>
      <c r="D10" s="112"/>
      <c r="E10" s="113"/>
      <c r="F10" s="114"/>
      <c r="G10" s="115"/>
      <c r="H10" s="116" t="str">
        <f>IF(F10=0,"",0)</f>
        <v/>
      </c>
      <c r="I10" s="117" t="str">
        <f t="shared" ref="I10" si="0">IF(F10=0,"",F10+(F10*H10))</f>
        <v/>
      </c>
      <c r="J10" s="118" t="str">
        <f>IF(F10=0,"",0)</f>
        <v/>
      </c>
      <c r="K10" s="25" t="str">
        <f>IF(F10=0,"",J10*I10)</f>
        <v/>
      </c>
      <c r="L10" s="25" t="str">
        <f>IF(F10=0,"",L$9)</f>
        <v/>
      </c>
      <c r="M10" s="119" t="str">
        <f>IF(F10=0,"",0)</f>
        <v/>
      </c>
      <c r="N10" s="119" t="str">
        <f>IF(F10=0,"",M10*I10)</f>
        <v/>
      </c>
      <c r="O10" s="25" t="str">
        <f>IF(F10=0,"",N10*L10)</f>
        <v/>
      </c>
      <c r="P10" s="120" t="str">
        <f>IF(F10=0,"",(K10+O10)/I10)</f>
        <v/>
      </c>
      <c r="Q10" s="25" t="str">
        <f>IF(F10=0,"",(P10*I10))</f>
        <v/>
      </c>
      <c r="R10" s="122"/>
    </row>
    <row r="11" spans="1:20" x14ac:dyDescent="0.35">
      <c r="A11" s="71" t="str">
        <f>IF(TRIM(G11)&lt;&gt;"",COUNTA(G11:$G$11)&amp;"","")</f>
        <v>1</v>
      </c>
      <c r="B11" s="72"/>
      <c r="C11" s="72"/>
      <c r="D11" s="34"/>
      <c r="E11" s="69" t="s">
        <v>155</v>
      </c>
      <c r="F11" s="73">
        <v>1</v>
      </c>
      <c r="G11" s="74" t="s">
        <v>652</v>
      </c>
      <c r="H11" s="22">
        <f t="shared" ref="H11:H12" si="1">IF(F11=0,"",0)</f>
        <v>0</v>
      </c>
      <c r="I11" s="51">
        <f t="shared" ref="I11:I16" si="2">IF(F11=0,"",F11+(F11*H11))</f>
        <v>1</v>
      </c>
      <c r="J11" s="23">
        <f t="shared" ref="J11:J16" si="3">IF(F11=0,"",0)</f>
        <v>0</v>
      </c>
      <c r="K11" s="24">
        <f t="shared" ref="K11:K16" si="4">IF(F11=0,"",J11*I11)</f>
        <v>0</v>
      </c>
      <c r="L11" s="25">
        <f>$L$9</f>
        <v>75</v>
      </c>
      <c r="M11" s="26">
        <f>$S$9*S11/L11</f>
        <v>195.47050744245283</v>
      </c>
      <c r="N11" s="26">
        <f t="shared" ref="N11:N16" si="5">IF(F11=0,"",M11*I11)</f>
        <v>195.47050744245283</v>
      </c>
      <c r="O11" s="24">
        <f t="shared" ref="O11:O16" si="6">IF(F11=0,"",N11*L11)</f>
        <v>14660.288058183962</v>
      </c>
      <c r="P11" s="27">
        <f t="shared" ref="P11:P16" si="7">IF(F11=0,"",(K11+O11)/I11)</f>
        <v>14660.288058183962</v>
      </c>
      <c r="Q11" s="24">
        <f t="shared" ref="Q11:Q16" si="8">IF(F11=0,"",(P11*I11))</f>
        <v>14660.288058183962</v>
      </c>
      <c r="R11" s="123"/>
      <c r="S11" s="93">
        <v>0.01</v>
      </c>
      <c r="T11" s="54"/>
    </row>
    <row r="12" spans="1:20" x14ac:dyDescent="0.35">
      <c r="A12" s="71" t="str">
        <f>IF(TRIM(G12)&lt;&gt;"",COUNTA(G$11:$G12)&amp;"","")</f>
        <v>2</v>
      </c>
      <c r="B12" s="72"/>
      <c r="C12" s="72"/>
      <c r="D12" s="34"/>
      <c r="E12" s="69" t="s">
        <v>655</v>
      </c>
      <c r="F12" s="73">
        <v>1</v>
      </c>
      <c r="G12" s="74" t="s">
        <v>652</v>
      </c>
      <c r="H12" s="22">
        <f t="shared" si="1"/>
        <v>0</v>
      </c>
      <c r="I12" s="51">
        <f t="shared" si="2"/>
        <v>1</v>
      </c>
      <c r="J12" s="23">
        <f t="shared" si="3"/>
        <v>0</v>
      </c>
      <c r="K12" s="24">
        <f t="shared" si="4"/>
        <v>0</v>
      </c>
      <c r="L12" s="25">
        <f t="shared" ref="L12:L14" si="9">$L$9</f>
        <v>75</v>
      </c>
      <c r="M12" s="26">
        <f t="shared" ref="M12:M15" si="10">$S$9*S12/L12</f>
        <v>218.92696833554714</v>
      </c>
      <c r="N12" s="26">
        <f t="shared" si="5"/>
        <v>218.92696833554714</v>
      </c>
      <c r="O12" s="24">
        <f t="shared" si="6"/>
        <v>16419.522625166035</v>
      </c>
      <c r="P12" s="27">
        <f t="shared" si="7"/>
        <v>16419.522625166035</v>
      </c>
      <c r="Q12" s="24">
        <f t="shared" si="8"/>
        <v>16419.522625166035</v>
      </c>
      <c r="R12" s="123"/>
      <c r="S12" s="93">
        <v>1.12E-2</v>
      </c>
    </row>
    <row r="13" spans="1:20" x14ac:dyDescent="0.35">
      <c r="A13" s="71" t="str">
        <f>IF(TRIM(G13)&lt;&gt;"",COUNTA(G$11:$G13)&amp;"","")</f>
        <v>3</v>
      </c>
      <c r="B13" s="72"/>
      <c r="C13" s="72"/>
      <c r="D13" s="34"/>
      <c r="E13" s="69" t="s">
        <v>171</v>
      </c>
      <c r="F13" s="73">
        <v>1</v>
      </c>
      <c r="G13" s="74" t="s">
        <v>652</v>
      </c>
      <c r="H13" s="22">
        <f t="shared" ref="H13:H16" si="11">IF(F13=0,"",0)</f>
        <v>0</v>
      </c>
      <c r="I13" s="51">
        <f t="shared" si="2"/>
        <v>1</v>
      </c>
      <c r="J13" s="23">
        <f t="shared" si="3"/>
        <v>0</v>
      </c>
      <c r="K13" s="24">
        <f t="shared" si="4"/>
        <v>0</v>
      </c>
      <c r="L13" s="25">
        <f t="shared" si="9"/>
        <v>75</v>
      </c>
      <c r="M13" s="26">
        <f t="shared" si="10"/>
        <v>127.05582983759433</v>
      </c>
      <c r="N13" s="26">
        <f t="shared" si="5"/>
        <v>127.05582983759433</v>
      </c>
      <c r="O13" s="24">
        <f t="shared" si="6"/>
        <v>9529.1872378195749</v>
      </c>
      <c r="P13" s="27">
        <f t="shared" si="7"/>
        <v>9529.1872378195749</v>
      </c>
      <c r="Q13" s="24">
        <f t="shared" si="8"/>
        <v>9529.1872378195749</v>
      </c>
      <c r="R13" s="123"/>
      <c r="S13" s="93">
        <v>6.4999999999999997E-3</v>
      </c>
    </row>
    <row r="14" spans="1:20" x14ac:dyDescent="0.35">
      <c r="A14" s="71" t="str">
        <f>IF(TRIM(G14)&lt;&gt;"",COUNTA(G$11:$G14)&amp;"","")</f>
        <v>4</v>
      </c>
      <c r="B14" s="72"/>
      <c r="C14" s="72"/>
      <c r="D14" s="34"/>
      <c r="E14" s="56" t="s">
        <v>191</v>
      </c>
      <c r="F14" s="73">
        <v>1</v>
      </c>
      <c r="G14" s="74" t="s">
        <v>652</v>
      </c>
      <c r="H14" s="22">
        <f t="shared" si="11"/>
        <v>0</v>
      </c>
      <c r="I14" s="51">
        <f t="shared" si="2"/>
        <v>1</v>
      </c>
      <c r="J14" s="23">
        <f t="shared" si="3"/>
        <v>0</v>
      </c>
      <c r="K14" s="24">
        <f t="shared" si="4"/>
        <v>0</v>
      </c>
      <c r="L14" s="25">
        <f t="shared" si="9"/>
        <v>75</v>
      </c>
      <c r="M14" s="26">
        <f t="shared" si="10"/>
        <v>166.14993132608492</v>
      </c>
      <c r="N14" s="26">
        <f t="shared" si="5"/>
        <v>166.14993132608492</v>
      </c>
      <c r="O14" s="24">
        <f t="shared" si="6"/>
        <v>12461.244849456369</v>
      </c>
      <c r="P14" s="27">
        <f t="shared" si="7"/>
        <v>12461.244849456369</v>
      </c>
      <c r="Q14" s="24">
        <f t="shared" si="8"/>
        <v>12461.244849456369</v>
      </c>
      <c r="R14" s="123"/>
      <c r="S14" s="93">
        <v>8.5000000000000006E-3</v>
      </c>
    </row>
    <row r="15" spans="1:20" x14ac:dyDescent="0.35">
      <c r="A15" s="71" t="str">
        <f>IF(TRIM(G15)&lt;&gt;"",COUNTA(G$11:$G15)&amp;"","")</f>
        <v>5</v>
      </c>
      <c r="B15" s="72"/>
      <c r="C15" s="72"/>
      <c r="D15" s="34"/>
      <c r="E15" s="56" t="s">
        <v>653</v>
      </c>
      <c r="F15" s="73">
        <v>1</v>
      </c>
      <c r="G15" s="74" t="s">
        <v>652</v>
      </c>
      <c r="H15" s="22">
        <f t="shared" si="11"/>
        <v>0</v>
      </c>
      <c r="I15" s="51">
        <f t="shared" si="2"/>
        <v>1</v>
      </c>
      <c r="J15" s="23">
        <f t="shared" si="3"/>
        <v>0</v>
      </c>
      <c r="K15" s="24">
        <f t="shared" si="4"/>
        <v>0</v>
      </c>
      <c r="L15" s="25">
        <f t="shared" ref="L15" si="12">IF(F15=0,"",L$9)</f>
        <v>75</v>
      </c>
      <c r="M15" s="26">
        <f t="shared" si="10"/>
        <v>879.61728349103771</v>
      </c>
      <c r="N15" s="26">
        <f t="shared" si="5"/>
        <v>879.61728349103771</v>
      </c>
      <c r="O15" s="24">
        <f t="shared" si="6"/>
        <v>65971.296261827825</v>
      </c>
      <c r="P15" s="27">
        <f t="shared" si="7"/>
        <v>65971.296261827825</v>
      </c>
      <c r="Q15" s="24">
        <f t="shared" si="8"/>
        <v>65971.296261827825</v>
      </c>
      <c r="R15" s="123"/>
      <c r="S15" s="93">
        <v>4.4999999999999998E-2</v>
      </c>
    </row>
    <row r="16" spans="1:20" ht="15" thickBot="1" x14ac:dyDescent="0.4">
      <c r="A16" s="71" t="str">
        <f>IF(TRIM(G16)&lt;&gt;"",COUNTA(G$11:$G16)&amp;"","")</f>
        <v/>
      </c>
      <c r="B16" s="75"/>
      <c r="C16" s="75"/>
      <c r="D16" s="34"/>
      <c r="E16" s="76"/>
      <c r="F16" s="73"/>
      <c r="G16" s="74"/>
      <c r="H16" s="22" t="str">
        <f t="shared" si="11"/>
        <v/>
      </c>
      <c r="I16" s="51" t="str">
        <f t="shared" si="2"/>
        <v/>
      </c>
      <c r="J16" s="23" t="str">
        <f t="shared" si="3"/>
        <v/>
      </c>
      <c r="K16" s="24" t="str">
        <f t="shared" si="4"/>
        <v/>
      </c>
      <c r="L16" s="25" t="str">
        <f t="shared" ref="L16" si="13">IF(F16=0,"",L$9)</f>
        <v/>
      </c>
      <c r="M16" s="26" t="str">
        <f t="shared" ref="M16" si="14">IF(F16=0,"",0)</f>
        <v/>
      </c>
      <c r="N16" s="26" t="str">
        <f t="shared" si="5"/>
        <v/>
      </c>
      <c r="O16" s="24" t="str">
        <f t="shared" si="6"/>
        <v/>
      </c>
      <c r="P16" s="27" t="str">
        <f t="shared" si="7"/>
        <v/>
      </c>
      <c r="Q16" s="109" t="str">
        <f t="shared" si="8"/>
        <v/>
      </c>
      <c r="R16" s="124"/>
    </row>
    <row r="17" spans="1:18" s="2" customFormat="1" ht="16" thickBot="1" x14ac:dyDescent="0.4">
      <c r="A17" s="71" t="str">
        <f>IF(TRIM(G17)&lt;&gt;"",COUNTA(G$11:$G17)&amp;"","")</f>
        <v/>
      </c>
      <c r="B17" s="1"/>
      <c r="C17" s="1"/>
      <c r="D17" s="20"/>
      <c r="E17" s="19"/>
      <c r="F17" s="49"/>
      <c r="G17" s="50"/>
      <c r="H17" s="82" t="s">
        <v>12</v>
      </c>
      <c r="I17" s="83"/>
      <c r="J17" s="44">
        <f>SUM(K$10:K$16)</f>
        <v>0</v>
      </c>
      <c r="K17" s="315" t="s">
        <v>13</v>
      </c>
      <c r="L17" s="316"/>
      <c r="M17" s="45">
        <f>SUM(O$10:O$16)</f>
        <v>119041.53903245377</v>
      </c>
      <c r="N17" s="315" t="s">
        <v>42</v>
      </c>
      <c r="O17" s="316"/>
      <c r="P17" s="46">
        <f>SUM(N$10:N$16)</f>
        <v>1587.220520432717</v>
      </c>
      <c r="Q17" s="121" t="s">
        <v>187</v>
      </c>
      <c r="R17" s="45">
        <f>SUM(Q10:Q16)</f>
        <v>119041.53903245377</v>
      </c>
    </row>
    <row r="18" spans="1:18" ht="30" customHeight="1" thickBot="1" x14ac:dyDescent="0.4">
      <c r="A18" s="195" t="str">
        <f>IF(TRIM(G18)&lt;&gt;"",COUNTA(G$11:$G18)&amp;"","")</f>
        <v/>
      </c>
      <c r="B18" s="196"/>
      <c r="C18" s="197"/>
      <c r="D18" s="197"/>
      <c r="E18" s="198" t="s">
        <v>174</v>
      </c>
      <c r="F18" s="199"/>
      <c r="G18" s="199"/>
      <c r="H18" s="196"/>
      <c r="I18" s="199"/>
      <c r="J18" s="196"/>
      <c r="K18" s="196"/>
      <c r="L18" s="196"/>
      <c r="M18" s="196"/>
      <c r="N18" s="196"/>
      <c r="O18" s="196"/>
      <c r="P18" s="196"/>
      <c r="Q18" s="196"/>
      <c r="R18" s="200"/>
    </row>
    <row r="19" spans="1:18" ht="25" customHeight="1" thickBot="1" x14ac:dyDescent="0.4">
      <c r="A19" s="181" t="str">
        <f>IF(TRIM(G19)&lt;&gt;"",COUNTA(G$11:$G19)&amp;"","")</f>
        <v/>
      </c>
      <c r="B19" s="182"/>
      <c r="C19" s="183" t="s">
        <v>120</v>
      </c>
      <c r="D19" s="193" t="s">
        <v>49</v>
      </c>
      <c r="E19" s="193" t="s">
        <v>50</v>
      </c>
      <c r="F19" s="194"/>
      <c r="G19" s="184"/>
      <c r="H19" s="182"/>
      <c r="I19" s="184"/>
      <c r="J19" s="182"/>
      <c r="K19" s="182"/>
      <c r="L19" s="202">
        <v>70</v>
      </c>
      <c r="M19" s="182"/>
      <c r="N19" s="182"/>
      <c r="O19" s="182"/>
      <c r="P19" s="182"/>
      <c r="Q19" s="182"/>
      <c r="R19" s="185"/>
    </row>
    <row r="20" spans="1:18" s="18" customFormat="1" ht="19.25" customHeight="1" x14ac:dyDescent="0.35">
      <c r="A20" s="71" t="str">
        <f>IF(TRIM(G20)&lt;&gt;"",COUNTA(G$11:$G20)&amp;"","")</f>
        <v/>
      </c>
      <c r="B20" s="33"/>
      <c r="C20" s="33"/>
      <c r="D20" s="207" t="s">
        <v>62</v>
      </c>
      <c r="E20" s="205" t="s">
        <v>61</v>
      </c>
      <c r="F20" s="73"/>
      <c r="G20" s="74"/>
      <c r="H20" s="22" t="str">
        <f t="shared" ref="H20:H60" si="15">IF(F20=0,"",0)</f>
        <v/>
      </c>
      <c r="I20" s="51" t="str">
        <f t="shared" ref="I20:I60" si="16">IF(F20=0,"",F20+(F20*H20))</f>
        <v/>
      </c>
      <c r="J20" s="23" t="str">
        <f t="shared" ref="J20:J60" si="17">IF(F20=0,"",0)</f>
        <v/>
      </c>
      <c r="K20" s="24" t="str">
        <f t="shared" ref="K20:K60" si="18">IF(F20=0,"",J20*I20)</f>
        <v/>
      </c>
      <c r="L20" s="25" t="str">
        <f t="shared" ref="L20:L60" si="19">IF(F20=0,"",L$19)</f>
        <v/>
      </c>
      <c r="M20" s="26" t="str">
        <f t="shared" ref="M20:M60" si="20">IF(F20=0,"",0)</f>
        <v/>
      </c>
      <c r="N20" s="26" t="str">
        <f t="shared" ref="N20:N60" si="21">IF(F20=0,"",M20*I20)</f>
        <v/>
      </c>
      <c r="O20" s="24" t="str">
        <f t="shared" ref="O20:O60" si="22">IF(F20=0,"",N20*L20)</f>
        <v/>
      </c>
      <c r="P20" s="27" t="str">
        <f t="shared" ref="P20:P60" si="23">IF(F20=0,"",(K20+O20)/I20)</f>
        <v/>
      </c>
      <c r="Q20" s="24" t="str">
        <f t="shared" ref="Q20:Q60" si="24">IF(F20=0,"",(P20*I20))</f>
        <v/>
      </c>
      <c r="R20" s="125"/>
    </row>
    <row r="21" spans="1:18" x14ac:dyDescent="0.35">
      <c r="A21" s="71" t="str">
        <f>IF(TRIM(G21)&lt;&gt;"",COUNTA(G$11:$G21)&amp;"","")</f>
        <v/>
      </c>
      <c r="B21" s="72"/>
      <c r="C21" s="72"/>
      <c r="D21" s="34"/>
      <c r="E21" s="256" t="s">
        <v>202</v>
      </c>
      <c r="F21" s="73"/>
      <c r="G21" s="74"/>
      <c r="H21" s="22" t="str">
        <f t="shared" si="15"/>
        <v/>
      </c>
      <c r="I21" s="51" t="str">
        <f t="shared" si="16"/>
        <v/>
      </c>
      <c r="J21" s="23" t="str">
        <f t="shared" si="17"/>
        <v/>
      </c>
      <c r="K21" s="24" t="str">
        <f t="shared" si="18"/>
        <v/>
      </c>
      <c r="L21" s="25" t="str">
        <f t="shared" si="19"/>
        <v/>
      </c>
      <c r="M21" s="26" t="str">
        <f t="shared" si="20"/>
        <v/>
      </c>
      <c r="N21" s="26" t="str">
        <f t="shared" si="21"/>
        <v/>
      </c>
      <c r="O21" s="24" t="str">
        <f t="shared" si="22"/>
        <v/>
      </c>
      <c r="P21" s="27" t="str">
        <f t="shared" si="23"/>
        <v/>
      </c>
      <c r="Q21" s="24" t="str">
        <f t="shared" si="24"/>
        <v/>
      </c>
      <c r="R21" s="123"/>
    </row>
    <row r="22" spans="1:18" x14ac:dyDescent="0.35">
      <c r="A22" s="71" t="str">
        <f>IF(TRIM(G22)&lt;&gt;"",COUNTA(G$11:$G22)&amp;"","")</f>
        <v>6</v>
      </c>
      <c r="B22" s="303" t="s">
        <v>227</v>
      </c>
      <c r="C22" s="303" t="s">
        <v>228</v>
      </c>
      <c r="D22" s="34"/>
      <c r="E22" s="259" t="s">
        <v>217</v>
      </c>
      <c r="F22" s="255">
        <v>6</v>
      </c>
      <c r="G22" s="260" t="s">
        <v>192</v>
      </c>
      <c r="H22" s="22"/>
      <c r="I22" s="51"/>
      <c r="J22" s="23"/>
      <c r="K22" s="24"/>
      <c r="L22" s="25"/>
      <c r="M22" s="26"/>
      <c r="N22" s="26"/>
      <c r="O22" s="24"/>
      <c r="P22" s="27"/>
      <c r="Q22" s="24"/>
      <c r="R22" s="123"/>
    </row>
    <row r="23" spans="1:18" x14ac:dyDescent="0.35">
      <c r="A23" s="71" t="str">
        <f>IF(TRIM(G23)&lt;&gt;"",COUNTA(G$11:$G23)&amp;"","")</f>
        <v>7</v>
      </c>
      <c r="B23" s="304"/>
      <c r="C23" s="304"/>
      <c r="D23" s="34"/>
      <c r="E23" s="56" t="s">
        <v>215</v>
      </c>
      <c r="F23" s="73">
        <f>(4*3*3*F22)/27</f>
        <v>8</v>
      </c>
      <c r="G23" s="74" t="s">
        <v>157</v>
      </c>
      <c r="H23" s="22">
        <v>0.1</v>
      </c>
      <c r="I23" s="51">
        <f t="shared" ref="I23:I37" si="25">IF(F23=0,"",F23+(F23*H23))</f>
        <v>8.8000000000000007</v>
      </c>
      <c r="J23" s="23">
        <v>215</v>
      </c>
      <c r="K23" s="24">
        <f t="shared" ref="K23:K37" si="26">IF(F23=0,"",J23*I23)</f>
        <v>1892.0000000000002</v>
      </c>
      <c r="L23" s="25">
        <f t="shared" ref="L23:L37" si="27">IF(F23=0,"",L$19)</f>
        <v>70</v>
      </c>
      <c r="M23" s="26">
        <v>2.5</v>
      </c>
      <c r="N23" s="26">
        <f t="shared" ref="N23:N37" si="28">IF(F23=0,"",M23*I23)</f>
        <v>22</v>
      </c>
      <c r="O23" s="24">
        <f t="shared" ref="O23:O37" si="29">IF(F23=0,"",N23*L23)</f>
        <v>1540</v>
      </c>
      <c r="P23" s="27">
        <f t="shared" ref="P23:P37" si="30">IF(F23=0,"",(K23+O23)/I23)</f>
        <v>389.99999999999994</v>
      </c>
      <c r="Q23" s="24">
        <f t="shared" ref="Q23:Q37" si="31">IF(F23=0,"",(P23*I23))</f>
        <v>3432</v>
      </c>
      <c r="R23" s="123"/>
    </row>
    <row r="24" spans="1:18" x14ac:dyDescent="0.35">
      <c r="A24" s="71" t="str">
        <f>IF(TRIM(G24)&lt;&gt;"",COUNTA(G$11:$G24)&amp;"","")</f>
        <v>8</v>
      </c>
      <c r="B24" s="304"/>
      <c r="C24" s="304"/>
      <c r="D24" s="34"/>
      <c r="E24" s="56" t="s">
        <v>218</v>
      </c>
      <c r="F24" s="73">
        <f>((3*2*1.043)+(2*2*1.043))*6</f>
        <v>62.58</v>
      </c>
      <c r="G24" s="74" t="s">
        <v>211</v>
      </c>
      <c r="H24" s="22">
        <v>0.1</v>
      </c>
      <c r="I24" s="51">
        <f t="shared" ref="I24:I27" si="32">IF(F24=0,"",F24+(F24*H24))</f>
        <v>68.837999999999994</v>
      </c>
      <c r="J24" s="23">
        <v>0.93</v>
      </c>
      <c r="K24" s="24">
        <f t="shared" ref="K24:K27" si="33">IF(F24=0,"",J24*I24)</f>
        <v>64.01934</v>
      </c>
      <c r="L24" s="25">
        <f t="shared" ref="L24:L27" si="34">IF(F24=0,"",L$19)</f>
        <v>70</v>
      </c>
      <c r="M24" s="26">
        <v>0.02</v>
      </c>
      <c r="N24" s="26">
        <f t="shared" ref="N24:N27" si="35">IF(F24=0,"",M24*I24)</f>
        <v>1.37676</v>
      </c>
      <c r="O24" s="24">
        <f t="shared" ref="O24:O27" si="36">IF(F24=0,"",N24*L24)</f>
        <v>96.373199999999997</v>
      </c>
      <c r="P24" s="27">
        <f t="shared" ref="P24:P27" si="37">IF(F24=0,"",(K24+O24)/I24)</f>
        <v>2.33</v>
      </c>
      <c r="Q24" s="24">
        <f t="shared" ref="Q24:Q27" si="38">IF(F24=0,"",(P24*I24))</f>
        <v>160.39254</v>
      </c>
      <c r="R24" s="123"/>
    </row>
    <row r="25" spans="1:18" x14ac:dyDescent="0.35">
      <c r="A25" s="71" t="str">
        <f>IF(TRIM(G25)&lt;&gt;"",COUNTA(G$11:$G25)&amp;"","")</f>
        <v>9</v>
      </c>
      <c r="B25" s="304"/>
      <c r="C25" s="304"/>
      <c r="D25" s="34"/>
      <c r="E25" s="56" t="s">
        <v>158</v>
      </c>
      <c r="F25" s="73">
        <f>(4.5*3.5*3*F22)/27</f>
        <v>10.5</v>
      </c>
      <c r="G25" s="74" t="s">
        <v>157</v>
      </c>
      <c r="H25" s="22">
        <v>0.1</v>
      </c>
      <c r="I25" s="51">
        <f t="shared" si="32"/>
        <v>11.55</v>
      </c>
      <c r="J25" s="23">
        <f t="shared" ref="J25:J27" si="39">IF(F25=0,"",0)</f>
        <v>0</v>
      </c>
      <c r="K25" s="24">
        <f t="shared" si="33"/>
        <v>0</v>
      </c>
      <c r="L25" s="25">
        <f t="shared" si="34"/>
        <v>70</v>
      </c>
      <c r="M25" s="26">
        <v>0.38500000000000001</v>
      </c>
      <c r="N25" s="26">
        <f t="shared" si="35"/>
        <v>4.4467500000000006</v>
      </c>
      <c r="O25" s="24">
        <f t="shared" si="36"/>
        <v>311.27250000000004</v>
      </c>
      <c r="P25" s="27">
        <f t="shared" si="37"/>
        <v>26.950000000000003</v>
      </c>
      <c r="Q25" s="24">
        <f t="shared" si="38"/>
        <v>311.27250000000004</v>
      </c>
      <c r="R25" s="123"/>
    </row>
    <row r="26" spans="1:18" x14ac:dyDescent="0.35">
      <c r="A26" s="71" t="str">
        <f>IF(TRIM(G26)&lt;&gt;"",COUNTA(G$11:$G26)&amp;"","")</f>
        <v>10</v>
      </c>
      <c r="B26" s="304"/>
      <c r="C26" s="304"/>
      <c r="D26" s="34"/>
      <c r="E26" s="56" t="s">
        <v>159</v>
      </c>
      <c r="F26" s="73">
        <f>F25-F23</f>
        <v>2.5</v>
      </c>
      <c r="G26" s="74" t="s">
        <v>157</v>
      </c>
      <c r="H26" s="22">
        <v>0.1</v>
      </c>
      <c r="I26" s="51">
        <f t="shared" si="32"/>
        <v>2.75</v>
      </c>
      <c r="J26" s="23">
        <f t="shared" si="39"/>
        <v>0</v>
      </c>
      <c r="K26" s="24">
        <f t="shared" si="33"/>
        <v>0</v>
      </c>
      <c r="L26" s="25">
        <f t="shared" si="34"/>
        <v>70</v>
      </c>
      <c r="M26" s="26">
        <v>0.28499999999999998</v>
      </c>
      <c r="N26" s="26">
        <f t="shared" si="35"/>
        <v>0.78374999999999995</v>
      </c>
      <c r="O26" s="24">
        <f t="shared" si="36"/>
        <v>54.862499999999997</v>
      </c>
      <c r="P26" s="27">
        <f t="shared" si="37"/>
        <v>19.95</v>
      </c>
      <c r="Q26" s="24">
        <f t="shared" si="38"/>
        <v>54.862499999999997</v>
      </c>
      <c r="R26" s="123"/>
    </row>
    <row r="27" spans="1:18" x14ac:dyDescent="0.35">
      <c r="A27" s="71" t="str">
        <f>IF(TRIM(G27)&lt;&gt;"",COUNTA(G$11:$G27)&amp;"","")</f>
        <v>11</v>
      </c>
      <c r="B27" s="304"/>
      <c r="C27" s="304"/>
      <c r="D27" s="34"/>
      <c r="E27" s="56" t="s">
        <v>212</v>
      </c>
      <c r="F27" s="73">
        <f>(4+4+3+3)*3*F22</f>
        <v>252</v>
      </c>
      <c r="G27" s="74" t="s">
        <v>141</v>
      </c>
      <c r="H27" s="22">
        <v>0.1</v>
      </c>
      <c r="I27" s="51">
        <f t="shared" si="32"/>
        <v>277.2</v>
      </c>
      <c r="J27" s="23">
        <f t="shared" si="39"/>
        <v>0</v>
      </c>
      <c r="K27" s="24">
        <f t="shared" si="33"/>
        <v>0</v>
      </c>
      <c r="L27" s="25">
        <f t="shared" si="34"/>
        <v>70</v>
      </c>
      <c r="M27" s="26">
        <v>0.05</v>
      </c>
      <c r="N27" s="26">
        <f t="shared" si="35"/>
        <v>13.86</v>
      </c>
      <c r="O27" s="24">
        <f t="shared" si="36"/>
        <v>970.19999999999993</v>
      </c>
      <c r="P27" s="27">
        <f t="shared" si="37"/>
        <v>3.5</v>
      </c>
      <c r="Q27" s="24">
        <f t="shared" si="38"/>
        <v>970.19999999999993</v>
      </c>
      <c r="R27" s="123"/>
    </row>
    <row r="28" spans="1:18" x14ac:dyDescent="0.35">
      <c r="A28" s="71" t="str">
        <f>IF(TRIM(G28)&lt;&gt;"",COUNTA(G$11:$G28)&amp;"","")</f>
        <v/>
      </c>
      <c r="B28" s="304"/>
      <c r="C28" s="304"/>
      <c r="D28" s="34"/>
      <c r="E28" s="56"/>
      <c r="F28" s="73"/>
      <c r="G28" s="74"/>
      <c r="H28" s="22"/>
      <c r="I28" s="51"/>
      <c r="J28" s="23"/>
      <c r="K28" s="24"/>
      <c r="L28" s="25"/>
      <c r="M28" s="26"/>
      <c r="N28" s="26"/>
      <c r="O28" s="24"/>
      <c r="P28" s="27"/>
      <c r="Q28" s="24"/>
      <c r="R28" s="123"/>
    </row>
    <row r="29" spans="1:18" x14ac:dyDescent="0.35">
      <c r="A29" s="71" t="str">
        <f>IF(TRIM(G29)&lt;&gt;"",COUNTA(G$11:$G29)&amp;"","")</f>
        <v/>
      </c>
      <c r="B29" s="304"/>
      <c r="C29" s="304"/>
      <c r="D29" s="34"/>
      <c r="E29" s="256" t="s">
        <v>203</v>
      </c>
      <c r="F29" s="73"/>
      <c r="G29" s="74"/>
      <c r="H29" s="22" t="str">
        <f t="shared" ref="H29:H37" si="40">IF(F29=0,"",0)</f>
        <v/>
      </c>
      <c r="I29" s="51" t="str">
        <f t="shared" si="25"/>
        <v/>
      </c>
      <c r="J29" s="23" t="str">
        <f t="shared" ref="J29:J37" si="41">IF(F29=0,"",0)</f>
        <v/>
      </c>
      <c r="K29" s="24" t="str">
        <f t="shared" si="26"/>
        <v/>
      </c>
      <c r="L29" s="25" t="str">
        <f t="shared" si="27"/>
        <v/>
      </c>
      <c r="M29" s="26" t="str">
        <f t="shared" ref="M29:M37" si="42">IF(F29=0,"",0)</f>
        <v/>
      </c>
      <c r="N29" s="26" t="str">
        <f t="shared" si="28"/>
        <v/>
      </c>
      <c r="O29" s="24" t="str">
        <f t="shared" si="29"/>
        <v/>
      </c>
      <c r="P29" s="27" t="str">
        <f t="shared" si="30"/>
        <v/>
      </c>
      <c r="Q29" s="24" t="str">
        <f t="shared" si="31"/>
        <v/>
      </c>
      <c r="R29" s="123"/>
    </row>
    <row r="30" spans="1:18" x14ac:dyDescent="0.35">
      <c r="A30" s="71" t="str">
        <f>IF(TRIM(G30)&lt;&gt;"",COUNTA(G$11:$G30)&amp;"","")</f>
        <v>12</v>
      </c>
      <c r="B30" s="304"/>
      <c r="C30" s="304"/>
      <c r="D30" s="34"/>
      <c r="E30" s="259" t="s">
        <v>214</v>
      </c>
      <c r="F30" s="255">
        <v>77.91</v>
      </c>
      <c r="G30" s="260" t="s">
        <v>154</v>
      </c>
      <c r="H30" s="22"/>
      <c r="I30" s="51"/>
      <c r="J30" s="23"/>
      <c r="K30" s="24"/>
      <c r="L30" s="25"/>
      <c r="M30" s="26"/>
      <c r="N30" s="26"/>
      <c r="O30" s="24"/>
      <c r="P30" s="27"/>
      <c r="Q30" s="24"/>
      <c r="R30" s="123"/>
    </row>
    <row r="31" spans="1:18" x14ac:dyDescent="0.35">
      <c r="A31" s="71" t="str">
        <f>IF(TRIM(G31)&lt;&gt;"",COUNTA(G$11:$G31)&amp;"","")</f>
        <v>13</v>
      </c>
      <c r="B31" s="304"/>
      <c r="C31" s="304"/>
      <c r="D31" s="34"/>
      <c r="E31" s="56" t="s">
        <v>215</v>
      </c>
      <c r="F31" s="73">
        <f>(390*2*1)/27</f>
        <v>28.888888888888889</v>
      </c>
      <c r="G31" s="74" t="s">
        <v>157</v>
      </c>
      <c r="H31" s="22">
        <v>0.1</v>
      </c>
      <c r="I31" s="51">
        <f t="shared" ref="I31:I33" si="43">IF(F31=0,"",F31+(F31*H31))</f>
        <v>31.777777777777779</v>
      </c>
      <c r="J31" s="23">
        <v>215</v>
      </c>
      <c r="K31" s="24">
        <f t="shared" ref="K31:K33" si="44">IF(F31=0,"",J31*I31)</f>
        <v>6832.2222222222226</v>
      </c>
      <c r="L31" s="25">
        <f t="shared" ref="L31:L33" si="45">IF(F31=0,"",L$19)</f>
        <v>70</v>
      </c>
      <c r="M31" s="26">
        <v>2.5</v>
      </c>
      <c r="N31" s="26">
        <f t="shared" ref="N31:N33" si="46">IF(F31=0,"",M31*I31)</f>
        <v>79.444444444444443</v>
      </c>
      <c r="O31" s="24">
        <f t="shared" ref="O31:O33" si="47">IF(F31=0,"",N31*L31)</f>
        <v>5561.1111111111113</v>
      </c>
      <c r="P31" s="27">
        <f t="shared" ref="P31:P33" si="48">IF(F31=0,"",(K31+O31)/I31)</f>
        <v>390</v>
      </c>
      <c r="Q31" s="24">
        <f t="shared" ref="Q31:Q33" si="49">IF(F31=0,"",(P31*I31))</f>
        <v>12393.333333333334</v>
      </c>
      <c r="R31" s="123"/>
    </row>
    <row r="32" spans="1:18" x14ac:dyDescent="0.35">
      <c r="A32" s="71" t="str">
        <f>IF(TRIM(G32)&lt;&gt;"",COUNTA(G$11:$G32)&amp;"","")</f>
        <v>14</v>
      </c>
      <c r="B32" s="304"/>
      <c r="C32" s="304"/>
      <c r="D32" s="34"/>
      <c r="E32" s="56" t="s">
        <v>213</v>
      </c>
      <c r="F32" s="73">
        <f>390*3*1.043</f>
        <v>1220.31</v>
      </c>
      <c r="G32" s="74" t="s">
        <v>211</v>
      </c>
      <c r="H32" s="22">
        <v>0.1</v>
      </c>
      <c r="I32" s="51">
        <f t="shared" si="43"/>
        <v>1342.3409999999999</v>
      </c>
      <c r="J32" s="23">
        <v>0.93</v>
      </c>
      <c r="K32" s="24">
        <f t="shared" si="44"/>
        <v>1248.3771300000001</v>
      </c>
      <c r="L32" s="25">
        <f t="shared" si="45"/>
        <v>70</v>
      </c>
      <c r="M32" s="26">
        <v>0.02</v>
      </c>
      <c r="N32" s="26">
        <f t="shared" si="46"/>
        <v>26.846819999999997</v>
      </c>
      <c r="O32" s="24">
        <f t="shared" si="47"/>
        <v>1879.2773999999997</v>
      </c>
      <c r="P32" s="27">
        <f t="shared" si="48"/>
        <v>2.33</v>
      </c>
      <c r="Q32" s="24">
        <f t="shared" si="49"/>
        <v>3127.6545299999998</v>
      </c>
      <c r="R32" s="123"/>
    </row>
    <row r="33" spans="1:18" x14ac:dyDescent="0.35">
      <c r="A33" s="71" t="str">
        <f>IF(TRIM(G33)&lt;&gt;"",COUNTA(G$11:$G33)&amp;"","")</f>
        <v>15</v>
      </c>
      <c r="B33" s="304"/>
      <c r="C33" s="304"/>
      <c r="D33" s="34"/>
      <c r="E33" s="56" t="s">
        <v>216</v>
      </c>
      <c r="F33" s="73">
        <f>(390/1)*5.8*1.043</f>
        <v>2359.2659999999996</v>
      </c>
      <c r="G33" s="74" t="s">
        <v>211</v>
      </c>
      <c r="H33" s="22">
        <v>0.1</v>
      </c>
      <c r="I33" s="51">
        <f t="shared" si="43"/>
        <v>2595.1925999999994</v>
      </c>
      <c r="J33" s="23">
        <v>0.93</v>
      </c>
      <c r="K33" s="24">
        <f t="shared" si="44"/>
        <v>2413.5291179999995</v>
      </c>
      <c r="L33" s="25">
        <f t="shared" si="45"/>
        <v>70</v>
      </c>
      <c r="M33" s="26">
        <v>0.02</v>
      </c>
      <c r="N33" s="26">
        <f t="shared" si="46"/>
        <v>51.903851999999986</v>
      </c>
      <c r="O33" s="24">
        <f t="shared" si="47"/>
        <v>3633.2696399999991</v>
      </c>
      <c r="P33" s="27">
        <f t="shared" si="48"/>
        <v>2.33</v>
      </c>
      <c r="Q33" s="24">
        <f t="shared" si="49"/>
        <v>6046.798757999999</v>
      </c>
      <c r="R33" s="123"/>
    </row>
    <row r="34" spans="1:18" x14ac:dyDescent="0.35">
      <c r="A34" s="71" t="str">
        <f>IF(TRIM(G34)&lt;&gt;"",COUNTA(G$11:$G34)&amp;"","")</f>
        <v>16</v>
      </c>
      <c r="B34" s="304"/>
      <c r="C34" s="304"/>
      <c r="D34" s="34"/>
      <c r="E34" s="56" t="s">
        <v>158</v>
      </c>
      <c r="F34" s="73">
        <f>(390*3*1)/27</f>
        <v>43.333333333333336</v>
      </c>
      <c r="G34" s="74" t="s">
        <v>157</v>
      </c>
      <c r="H34" s="22">
        <v>0.1</v>
      </c>
      <c r="I34" s="51">
        <f t="shared" ref="I34:I36" si="50">IF(F34=0,"",F34+(F34*H34))</f>
        <v>47.666666666666671</v>
      </c>
      <c r="J34" s="23">
        <f t="shared" ref="J34:J36" si="51">IF(F34=0,"",0)</f>
        <v>0</v>
      </c>
      <c r="K34" s="24">
        <f t="shared" ref="K34:K36" si="52">IF(F34=0,"",J34*I34)</f>
        <v>0</v>
      </c>
      <c r="L34" s="25">
        <f t="shared" ref="L34:L36" si="53">IF(F34=0,"",L$19)</f>
        <v>70</v>
      </c>
      <c r="M34" s="26">
        <v>0.38500000000000001</v>
      </c>
      <c r="N34" s="26">
        <f t="shared" ref="N34:N36" si="54">IF(F34=0,"",M34*I34)</f>
        <v>18.35166666666667</v>
      </c>
      <c r="O34" s="24">
        <f t="shared" ref="O34:O36" si="55">IF(F34=0,"",N34*L34)</f>
        <v>1284.616666666667</v>
      </c>
      <c r="P34" s="27">
        <f t="shared" ref="P34:P36" si="56">IF(F34=0,"",(K34+O34)/I34)</f>
        <v>26.950000000000006</v>
      </c>
      <c r="Q34" s="24">
        <f t="shared" ref="Q34:Q36" si="57">IF(F34=0,"",(P34*I34))</f>
        <v>1284.616666666667</v>
      </c>
      <c r="R34" s="123"/>
    </row>
    <row r="35" spans="1:18" x14ac:dyDescent="0.35">
      <c r="A35" s="71" t="str">
        <f>IF(TRIM(G35)&lt;&gt;"",COUNTA(G$11:$G35)&amp;"","")</f>
        <v>17</v>
      </c>
      <c r="B35" s="304"/>
      <c r="C35" s="304"/>
      <c r="D35" s="34"/>
      <c r="E35" s="56" t="s">
        <v>159</v>
      </c>
      <c r="F35" s="73">
        <f>F34-F31</f>
        <v>14.444444444444446</v>
      </c>
      <c r="G35" s="74" t="s">
        <v>157</v>
      </c>
      <c r="H35" s="22">
        <v>0.1</v>
      </c>
      <c r="I35" s="51">
        <f t="shared" si="50"/>
        <v>15.888888888888891</v>
      </c>
      <c r="J35" s="23">
        <f t="shared" si="51"/>
        <v>0</v>
      </c>
      <c r="K35" s="24">
        <f t="shared" si="52"/>
        <v>0</v>
      </c>
      <c r="L35" s="25">
        <f t="shared" si="53"/>
        <v>70</v>
      </c>
      <c r="M35" s="26">
        <v>0.28499999999999998</v>
      </c>
      <c r="N35" s="26">
        <f t="shared" si="54"/>
        <v>4.5283333333333333</v>
      </c>
      <c r="O35" s="24">
        <f t="shared" si="55"/>
        <v>316.98333333333335</v>
      </c>
      <c r="P35" s="27">
        <f t="shared" si="56"/>
        <v>19.95</v>
      </c>
      <c r="Q35" s="24">
        <f t="shared" si="57"/>
        <v>316.98333333333335</v>
      </c>
      <c r="R35" s="123"/>
    </row>
    <row r="36" spans="1:18" x14ac:dyDescent="0.35">
      <c r="A36" s="71" t="str">
        <f>IF(TRIM(G36)&lt;&gt;"",COUNTA(G$11:$G36)&amp;"","")</f>
        <v>18</v>
      </c>
      <c r="B36" s="304"/>
      <c r="C36" s="304"/>
      <c r="D36" s="34"/>
      <c r="E36" s="56" t="s">
        <v>212</v>
      </c>
      <c r="F36" s="73">
        <f>390*2*1</f>
        <v>780</v>
      </c>
      <c r="G36" s="74" t="s">
        <v>141</v>
      </c>
      <c r="H36" s="22">
        <v>0.1</v>
      </c>
      <c r="I36" s="51">
        <f t="shared" si="50"/>
        <v>858</v>
      </c>
      <c r="J36" s="23">
        <f t="shared" si="51"/>
        <v>0</v>
      </c>
      <c r="K36" s="24">
        <f t="shared" si="52"/>
        <v>0</v>
      </c>
      <c r="L36" s="25">
        <f t="shared" si="53"/>
        <v>70</v>
      </c>
      <c r="M36" s="26">
        <v>0.05</v>
      </c>
      <c r="N36" s="26">
        <f t="shared" si="54"/>
        <v>42.900000000000006</v>
      </c>
      <c r="O36" s="24">
        <f t="shared" si="55"/>
        <v>3003.0000000000005</v>
      </c>
      <c r="P36" s="27">
        <f t="shared" si="56"/>
        <v>3.5000000000000004</v>
      </c>
      <c r="Q36" s="24">
        <f t="shared" si="57"/>
        <v>3003.0000000000005</v>
      </c>
      <c r="R36" s="123"/>
    </row>
    <row r="37" spans="1:18" x14ac:dyDescent="0.35">
      <c r="A37" s="71" t="str">
        <f>IF(TRIM(G37)&lt;&gt;"",COUNTA(G$11:$G37)&amp;"","")</f>
        <v/>
      </c>
      <c r="B37" s="304"/>
      <c r="C37" s="304"/>
      <c r="D37" s="34"/>
      <c r="E37" s="56"/>
      <c r="F37" s="73"/>
      <c r="G37" s="74"/>
      <c r="H37" s="22" t="str">
        <f t="shared" si="40"/>
        <v/>
      </c>
      <c r="I37" s="51" t="str">
        <f t="shared" si="25"/>
        <v/>
      </c>
      <c r="J37" s="23" t="str">
        <f t="shared" si="41"/>
        <v/>
      </c>
      <c r="K37" s="24" t="str">
        <f t="shared" si="26"/>
        <v/>
      </c>
      <c r="L37" s="25" t="str">
        <f t="shared" si="27"/>
        <v/>
      </c>
      <c r="M37" s="26" t="str">
        <f t="shared" si="42"/>
        <v/>
      </c>
      <c r="N37" s="26" t="str">
        <f t="shared" si="28"/>
        <v/>
      </c>
      <c r="O37" s="24" t="str">
        <f t="shared" si="29"/>
        <v/>
      </c>
      <c r="P37" s="27" t="str">
        <f t="shared" si="30"/>
        <v/>
      </c>
      <c r="Q37" s="24" t="str">
        <f t="shared" si="31"/>
        <v/>
      </c>
      <c r="R37" s="123"/>
    </row>
    <row r="38" spans="1:18" x14ac:dyDescent="0.35">
      <c r="A38" s="71" t="str">
        <f>IF(TRIM(G38)&lt;&gt;"",COUNTA(G$11:$G38)&amp;"","")</f>
        <v/>
      </c>
      <c r="B38" s="304"/>
      <c r="C38" s="304"/>
      <c r="D38" s="34"/>
      <c r="E38" s="256" t="s">
        <v>204</v>
      </c>
      <c r="F38" s="73"/>
      <c r="G38" s="74"/>
      <c r="H38" s="22" t="str">
        <f t="shared" si="15"/>
        <v/>
      </c>
      <c r="I38" s="51" t="str">
        <f t="shared" si="16"/>
        <v/>
      </c>
      <c r="J38" s="23" t="str">
        <f t="shared" si="17"/>
        <v/>
      </c>
      <c r="K38" s="24" t="str">
        <f t="shared" si="18"/>
        <v/>
      </c>
      <c r="L38" s="25" t="str">
        <f t="shared" si="19"/>
        <v/>
      </c>
      <c r="M38" s="26" t="str">
        <f t="shared" si="20"/>
        <v/>
      </c>
      <c r="N38" s="26" t="str">
        <f t="shared" si="21"/>
        <v/>
      </c>
      <c r="O38" s="24" t="str">
        <f t="shared" si="22"/>
        <v/>
      </c>
      <c r="P38" s="27" t="str">
        <f t="shared" si="23"/>
        <v/>
      </c>
      <c r="Q38" s="24" t="str">
        <f t="shared" si="24"/>
        <v/>
      </c>
      <c r="R38" s="123"/>
    </row>
    <row r="39" spans="1:18" x14ac:dyDescent="0.35">
      <c r="A39" s="71" t="str">
        <f>IF(TRIM(G39)&lt;&gt;"",COUNTA(G$11:$G39)&amp;"","")</f>
        <v>19</v>
      </c>
      <c r="B39" s="304"/>
      <c r="C39" s="304"/>
      <c r="D39" s="34"/>
      <c r="E39" s="259" t="s">
        <v>208</v>
      </c>
      <c r="F39" s="255">
        <f>5*366.9542222</f>
        <v>1834.771111</v>
      </c>
      <c r="G39" s="260" t="s">
        <v>141</v>
      </c>
      <c r="H39" s="22"/>
      <c r="I39" s="51"/>
      <c r="J39" s="23"/>
      <c r="K39" s="24"/>
      <c r="L39" s="25"/>
      <c r="M39" s="26"/>
      <c r="N39" s="26"/>
      <c r="O39" s="24"/>
      <c r="P39" s="27"/>
      <c r="Q39" s="24"/>
      <c r="R39" s="123"/>
    </row>
    <row r="40" spans="1:18" x14ac:dyDescent="0.35">
      <c r="A40" s="71" t="str">
        <f>IF(TRIM(G40)&lt;&gt;"",COUNTA(G$11:$G40)&amp;"","")</f>
        <v>20</v>
      </c>
      <c r="B40" s="304"/>
      <c r="C40" s="304"/>
      <c r="D40" s="34"/>
      <c r="E40" s="258" t="s">
        <v>215</v>
      </c>
      <c r="F40" s="73">
        <f>F39*0.41/27</f>
        <v>27.861339092962961</v>
      </c>
      <c r="G40" s="74" t="s">
        <v>157</v>
      </c>
      <c r="H40" s="22">
        <v>0.1</v>
      </c>
      <c r="I40" s="51">
        <f t="shared" ref="I40" si="58">IF(F40=0,"",F40+(F40*H40))</f>
        <v>30.647473002259257</v>
      </c>
      <c r="J40" s="23">
        <v>215</v>
      </c>
      <c r="K40" s="24">
        <f t="shared" ref="K40" si="59">IF(F40=0,"",J40*I40)</f>
        <v>6589.2066954857401</v>
      </c>
      <c r="L40" s="25">
        <f t="shared" ref="L40" si="60">IF(F40=0,"",L$19)</f>
        <v>70</v>
      </c>
      <c r="M40" s="26">
        <v>2.5</v>
      </c>
      <c r="N40" s="26">
        <f t="shared" ref="N40" si="61">IF(F40=0,"",M40*I40)</f>
        <v>76.618682505648138</v>
      </c>
      <c r="O40" s="24">
        <f t="shared" ref="O40" si="62">IF(F40=0,"",N40*L40)</f>
        <v>5363.3077753953694</v>
      </c>
      <c r="P40" s="27">
        <f t="shared" ref="P40" si="63">IF(F40=0,"",(K40+O40)/I40)</f>
        <v>389.99999999999994</v>
      </c>
      <c r="Q40" s="24">
        <f t="shared" ref="Q40" si="64">IF(F40=0,"",(P40*I40))</f>
        <v>11952.514470881109</v>
      </c>
      <c r="R40" s="123"/>
    </row>
    <row r="41" spans="1:18" ht="29" x14ac:dyDescent="0.35">
      <c r="A41" s="71" t="str">
        <f>IF(TRIM(G41)&lt;&gt;"",COUNTA(G$11:$G41)&amp;"","")</f>
        <v>21</v>
      </c>
      <c r="B41" s="304"/>
      <c r="C41" s="304"/>
      <c r="D41" s="34"/>
      <c r="E41" s="258" t="s">
        <v>209</v>
      </c>
      <c r="F41" s="73">
        <f>F39</f>
        <v>1834.771111</v>
      </c>
      <c r="G41" s="74" t="s">
        <v>141</v>
      </c>
      <c r="H41" s="22">
        <v>0.1</v>
      </c>
      <c r="I41" s="51">
        <f t="shared" ref="I41:I43" si="65">IF(F41=0,"",F41+(F41*H41))</f>
        <v>2018.2482221</v>
      </c>
      <c r="J41" s="23">
        <v>0.34</v>
      </c>
      <c r="K41" s="24">
        <f t="shared" ref="K41:K43" si="66">IF(F41=0,"",J41*I41)</f>
        <v>686.20439551400011</v>
      </c>
      <c r="L41" s="25">
        <f t="shared" ref="L41:L43" si="67">IF(F41=0,"",L$19)</f>
        <v>70</v>
      </c>
      <c r="M41" s="26">
        <v>3.0000000000000001E-3</v>
      </c>
      <c r="N41" s="26">
        <f t="shared" ref="N41:N43" si="68">IF(F41=0,"",M41*I41)</f>
        <v>6.0547446663000004</v>
      </c>
      <c r="O41" s="24">
        <f t="shared" ref="O41:O43" si="69">IF(F41=0,"",N41*L41)</f>
        <v>423.832126641</v>
      </c>
      <c r="P41" s="27">
        <f t="shared" ref="P41:P43" si="70">IF(F41=0,"",(K41+O41)/I41)</f>
        <v>0.55000000000000004</v>
      </c>
      <c r="Q41" s="24">
        <f t="shared" ref="Q41:Q43" si="71">IF(F41=0,"",(P41*I41))</f>
        <v>1110.0365221550001</v>
      </c>
      <c r="R41" s="123"/>
    </row>
    <row r="42" spans="1:18" x14ac:dyDescent="0.35">
      <c r="A42" s="71" t="str">
        <f>IF(TRIM(G42)&lt;&gt;"",COUNTA(G$11:$G42)&amp;"","")</f>
        <v>22</v>
      </c>
      <c r="B42" s="304"/>
      <c r="C42" s="304"/>
      <c r="D42" s="34"/>
      <c r="E42" s="258" t="s">
        <v>210</v>
      </c>
      <c r="F42" s="73">
        <f>(385/2)*3.48*1.043</f>
        <v>698.70569999999998</v>
      </c>
      <c r="G42" s="74" t="s">
        <v>211</v>
      </c>
      <c r="H42" s="22">
        <v>0.1</v>
      </c>
      <c r="I42" s="51">
        <f t="shared" si="65"/>
        <v>768.57627000000002</v>
      </c>
      <c r="J42" s="23">
        <v>0.93</v>
      </c>
      <c r="K42" s="24">
        <f t="shared" si="66"/>
        <v>714.77593110000009</v>
      </c>
      <c r="L42" s="25">
        <f t="shared" si="67"/>
        <v>70</v>
      </c>
      <c r="M42" s="26">
        <v>0.02</v>
      </c>
      <c r="N42" s="26">
        <f t="shared" si="68"/>
        <v>15.371525400000001</v>
      </c>
      <c r="O42" s="24">
        <f t="shared" si="69"/>
        <v>1076.0067780000002</v>
      </c>
      <c r="P42" s="27">
        <f t="shared" si="70"/>
        <v>2.3300000000000005</v>
      </c>
      <c r="Q42" s="24">
        <f t="shared" si="71"/>
        <v>1790.7827091000004</v>
      </c>
      <c r="R42" s="123"/>
    </row>
    <row r="43" spans="1:18" x14ac:dyDescent="0.35">
      <c r="A43" s="71" t="str">
        <f>IF(TRIM(G43)&lt;&gt;"",COUNTA(G$11:$G43)&amp;"","")</f>
        <v>23</v>
      </c>
      <c r="B43" s="304"/>
      <c r="C43" s="304"/>
      <c r="D43" s="34"/>
      <c r="E43" s="258" t="s">
        <v>212</v>
      </c>
      <c r="F43" s="73">
        <f>385*0.41</f>
        <v>157.85</v>
      </c>
      <c r="G43" s="74" t="s">
        <v>141</v>
      </c>
      <c r="H43" s="22">
        <v>0.1</v>
      </c>
      <c r="I43" s="51">
        <f t="shared" si="65"/>
        <v>173.63499999999999</v>
      </c>
      <c r="J43" s="23">
        <v>0</v>
      </c>
      <c r="K43" s="24">
        <f t="shared" si="66"/>
        <v>0</v>
      </c>
      <c r="L43" s="25">
        <f t="shared" si="67"/>
        <v>70</v>
      </c>
      <c r="M43" s="26">
        <v>0.05</v>
      </c>
      <c r="N43" s="26">
        <f t="shared" si="68"/>
        <v>8.6817499999999992</v>
      </c>
      <c r="O43" s="24">
        <f t="shared" si="69"/>
        <v>607.72249999999997</v>
      </c>
      <c r="P43" s="27">
        <f t="shared" si="70"/>
        <v>3.5</v>
      </c>
      <c r="Q43" s="24">
        <f t="shared" si="71"/>
        <v>607.72249999999997</v>
      </c>
      <c r="R43" s="123"/>
    </row>
    <row r="44" spans="1:18" ht="29" x14ac:dyDescent="0.35">
      <c r="A44" s="71" t="str">
        <f>IF(TRIM(G44)&lt;&gt;"",COUNTA(G$11:$G44)&amp;"","")</f>
        <v>24</v>
      </c>
      <c r="B44" s="304"/>
      <c r="C44" s="304"/>
      <c r="D44" s="34"/>
      <c r="E44" s="258" t="s">
        <v>219</v>
      </c>
      <c r="F44" s="73">
        <f>F39/10</f>
        <v>183.4771111</v>
      </c>
      <c r="G44" s="74" t="s">
        <v>154</v>
      </c>
      <c r="H44" s="22">
        <v>0.1</v>
      </c>
      <c r="I44" s="51">
        <f t="shared" ref="I44:I45" si="72">IF(F44=0,"",F44+(F44*H44))</f>
        <v>201.82482221000001</v>
      </c>
      <c r="J44" s="23">
        <v>0</v>
      </c>
      <c r="K44" s="24">
        <f t="shared" ref="K44:K45" si="73">IF(F44=0,"",J44*I44)</f>
        <v>0</v>
      </c>
      <c r="L44" s="25">
        <f t="shared" ref="L44:L45" si="74">IF(F44=0,"",L$19)</f>
        <v>70</v>
      </c>
      <c r="M44" s="26">
        <v>1.6E-2</v>
      </c>
      <c r="N44" s="26">
        <f t="shared" ref="N44:N45" si="75">IF(F44=0,"",M44*I44)</f>
        <v>3.2291971553600001</v>
      </c>
      <c r="O44" s="24">
        <f t="shared" ref="O44:O45" si="76">IF(F44=0,"",N44*L44)</f>
        <v>226.04380087519999</v>
      </c>
      <c r="P44" s="27">
        <f t="shared" ref="P44:P45" si="77">IF(F44=0,"",(K44+O44)/I44)</f>
        <v>1.1199999999999999</v>
      </c>
      <c r="Q44" s="24">
        <f t="shared" ref="Q44:Q45" si="78">IF(F44=0,"",(P44*I44))</f>
        <v>226.04380087519999</v>
      </c>
      <c r="R44" s="123"/>
    </row>
    <row r="45" spans="1:18" x14ac:dyDescent="0.35">
      <c r="A45" s="71" t="str">
        <f>IF(TRIM(G45)&lt;&gt;"",COUNTA(G$11:$G45)&amp;"","")</f>
        <v>25</v>
      </c>
      <c r="B45" s="304"/>
      <c r="C45" s="304"/>
      <c r="D45" s="34"/>
      <c r="E45" s="258" t="s">
        <v>220</v>
      </c>
      <c r="F45" s="73">
        <f>74.13*5</f>
        <v>370.65</v>
      </c>
      <c r="G45" s="74" t="s">
        <v>154</v>
      </c>
      <c r="H45" s="22">
        <v>0.1</v>
      </c>
      <c r="I45" s="51">
        <f t="shared" si="72"/>
        <v>407.71499999999997</v>
      </c>
      <c r="J45" s="23">
        <v>0.2</v>
      </c>
      <c r="K45" s="24">
        <f t="shared" si="73"/>
        <v>81.543000000000006</v>
      </c>
      <c r="L45" s="25">
        <f t="shared" si="74"/>
        <v>70</v>
      </c>
      <c r="M45" s="26">
        <v>1.6E-2</v>
      </c>
      <c r="N45" s="26">
        <f t="shared" si="75"/>
        <v>6.5234399999999999</v>
      </c>
      <c r="O45" s="24">
        <f t="shared" si="76"/>
        <v>456.64080000000001</v>
      </c>
      <c r="P45" s="27">
        <f t="shared" si="77"/>
        <v>1.32</v>
      </c>
      <c r="Q45" s="24">
        <f t="shared" si="78"/>
        <v>538.18380000000002</v>
      </c>
      <c r="R45" s="123"/>
    </row>
    <row r="46" spans="1:18" x14ac:dyDescent="0.35">
      <c r="A46" s="71" t="str">
        <f>IF(TRIM(G46)&lt;&gt;"",COUNTA(G$11:$G46)&amp;"","")</f>
        <v/>
      </c>
      <c r="B46" s="304"/>
      <c r="C46" s="304"/>
      <c r="D46" s="34"/>
      <c r="E46" s="76"/>
      <c r="F46" s="73"/>
      <c r="G46" s="74"/>
      <c r="H46" s="22" t="str">
        <f t="shared" si="15"/>
        <v/>
      </c>
      <c r="I46" s="51" t="str">
        <f t="shared" si="16"/>
        <v/>
      </c>
      <c r="J46" s="23"/>
      <c r="K46" s="24" t="str">
        <f t="shared" si="18"/>
        <v/>
      </c>
      <c r="L46" s="25" t="str">
        <f t="shared" si="19"/>
        <v/>
      </c>
      <c r="M46" s="26"/>
      <c r="N46" s="26" t="str">
        <f t="shared" si="21"/>
        <v/>
      </c>
      <c r="O46" s="24" t="str">
        <f t="shared" si="22"/>
        <v/>
      </c>
      <c r="P46" s="27" t="str">
        <f t="shared" si="23"/>
        <v/>
      </c>
      <c r="Q46" s="24" t="str">
        <f t="shared" si="24"/>
        <v/>
      </c>
      <c r="R46" s="123"/>
    </row>
    <row r="47" spans="1:18" x14ac:dyDescent="0.35">
      <c r="A47" s="71" t="str">
        <f>IF(TRIM(G47)&lt;&gt;"",COUNTA(G$11:$G47)&amp;"","")</f>
        <v/>
      </c>
      <c r="B47" s="304"/>
      <c r="C47" s="304"/>
      <c r="D47" s="34"/>
      <c r="E47" s="256" t="s">
        <v>221</v>
      </c>
      <c r="F47" s="73"/>
      <c r="G47" s="74"/>
      <c r="H47" s="22"/>
      <c r="I47" s="51"/>
      <c r="J47" s="23"/>
      <c r="K47" s="24"/>
      <c r="L47" s="25"/>
      <c r="M47" s="26"/>
      <c r="N47" s="26"/>
      <c r="O47" s="24"/>
      <c r="P47" s="27"/>
      <c r="Q47" s="24"/>
      <c r="R47" s="123"/>
    </row>
    <row r="48" spans="1:18" x14ac:dyDescent="0.35">
      <c r="A48" s="71" t="str">
        <f>IF(TRIM(G48)&lt;&gt;"",COUNTA(G$11:$G48)&amp;"","")</f>
        <v>26</v>
      </c>
      <c r="B48" s="304"/>
      <c r="C48" s="304"/>
      <c r="D48" s="34"/>
      <c r="E48" s="19" t="s">
        <v>224</v>
      </c>
      <c r="F48" s="255">
        <v>77.91</v>
      </c>
      <c r="G48" s="260" t="s">
        <v>154</v>
      </c>
      <c r="H48" s="22"/>
      <c r="I48" s="51"/>
      <c r="J48" s="23"/>
      <c r="K48" s="24"/>
      <c r="L48" s="25"/>
      <c r="M48" s="26"/>
      <c r="N48" s="26"/>
      <c r="O48" s="24"/>
      <c r="P48" s="27"/>
      <c r="Q48" s="24"/>
      <c r="R48" s="123"/>
    </row>
    <row r="49" spans="1:18" x14ac:dyDescent="0.35">
      <c r="A49" s="71" t="str">
        <f>IF(TRIM(G49)&lt;&gt;"",COUNTA(G$11:$G49)&amp;"","")</f>
        <v>27</v>
      </c>
      <c r="B49" s="304"/>
      <c r="C49" s="304"/>
      <c r="D49" s="34"/>
      <c r="E49" s="76" t="s">
        <v>215</v>
      </c>
      <c r="F49" s="73">
        <f>F48*3*0.83/27</f>
        <v>7.1850333333333323</v>
      </c>
      <c r="G49" s="74" t="s">
        <v>157</v>
      </c>
      <c r="H49" s="22">
        <v>0.1</v>
      </c>
      <c r="I49" s="51">
        <f t="shared" ref="I49" si="79">IF(F49=0,"",F49+(F49*H49))</f>
        <v>7.9035366666666658</v>
      </c>
      <c r="J49" s="23">
        <v>215</v>
      </c>
      <c r="K49" s="24">
        <f t="shared" ref="K49" si="80">IF(F49=0,"",J49*I49)</f>
        <v>1699.260383333333</v>
      </c>
      <c r="L49" s="25">
        <f t="shared" ref="L49" si="81">IF(F49=0,"",L$19)</f>
        <v>70</v>
      </c>
      <c r="M49" s="26">
        <v>2.5</v>
      </c>
      <c r="N49" s="26">
        <f t="shared" ref="N49" si="82">IF(F49=0,"",M49*I49)</f>
        <v>19.758841666666665</v>
      </c>
      <c r="O49" s="24">
        <f t="shared" ref="O49" si="83">IF(F49=0,"",N49*L49)</f>
        <v>1383.1189166666666</v>
      </c>
      <c r="P49" s="27">
        <f t="shared" ref="P49" si="84">IF(F49=0,"",(K49+O49)/I49)</f>
        <v>390</v>
      </c>
      <c r="Q49" s="24">
        <f t="shared" ref="Q49" si="85">IF(F49=0,"",(P49*I49))</f>
        <v>3082.3792999999996</v>
      </c>
      <c r="R49" s="123"/>
    </row>
    <row r="50" spans="1:18" x14ac:dyDescent="0.35">
      <c r="A50" s="71" t="str">
        <f>IF(TRIM(G50)&lt;&gt;"",COUNTA(G$11:$G50)&amp;"","")</f>
        <v>28</v>
      </c>
      <c r="B50" s="304"/>
      <c r="C50" s="304"/>
      <c r="D50" s="34"/>
      <c r="E50" s="76" t="s">
        <v>223</v>
      </c>
      <c r="F50" s="73">
        <f>(F48/1)*4*0.5*1.043</f>
        <v>162.52025999999998</v>
      </c>
      <c r="G50" s="74" t="s">
        <v>211</v>
      </c>
      <c r="H50" s="22">
        <v>0.1</v>
      </c>
      <c r="I50" s="51">
        <f t="shared" ref="I50" si="86">IF(F50=0,"",F50+(F50*H50))</f>
        <v>178.77228599999998</v>
      </c>
      <c r="J50" s="23">
        <v>0.93</v>
      </c>
      <c r="K50" s="24">
        <f t="shared" ref="K50" si="87">IF(F50=0,"",J50*I50)</f>
        <v>166.25822597999999</v>
      </c>
      <c r="L50" s="25">
        <f t="shared" ref="L50" si="88">IF(F50=0,"",L$19)</f>
        <v>70</v>
      </c>
      <c r="M50" s="26">
        <v>0.02</v>
      </c>
      <c r="N50" s="26">
        <f t="shared" ref="N50" si="89">IF(F50=0,"",M50*I50)</f>
        <v>3.5754457199999998</v>
      </c>
      <c r="O50" s="24">
        <f t="shared" ref="O50" si="90">IF(F50=0,"",N50*L50)</f>
        <v>250.28120039999999</v>
      </c>
      <c r="P50" s="27">
        <f t="shared" ref="P50" si="91">IF(F50=0,"",(K50+O50)/I50)</f>
        <v>2.3300000000000005</v>
      </c>
      <c r="Q50" s="24">
        <f t="shared" ref="Q50" si="92">IF(F50=0,"",(P50*I50))</f>
        <v>416.53942638000007</v>
      </c>
      <c r="R50" s="123"/>
    </row>
    <row r="51" spans="1:18" x14ac:dyDescent="0.35">
      <c r="A51" s="71" t="str">
        <f>IF(TRIM(G51)&lt;&gt;"",COUNTA(G$11:$G51)&amp;"","")</f>
        <v>29</v>
      </c>
      <c r="B51" s="304"/>
      <c r="C51" s="304"/>
      <c r="D51" s="34"/>
      <c r="E51" s="76" t="s">
        <v>222</v>
      </c>
      <c r="F51" s="73">
        <f>(F48/1)*6.7*2*1.043</f>
        <v>1088.8857419999999</v>
      </c>
      <c r="G51" s="74" t="s">
        <v>211</v>
      </c>
      <c r="H51" s="22">
        <v>0.1</v>
      </c>
      <c r="I51" s="51">
        <f t="shared" ref="I51" si="93">IF(F51=0,"",F51+(F51*H51))</f>
        <v>1197.7743161999999</v>
      </c>
      <c r="J51" s="23">
        <v>0.93</v>
      </c>
      <c r="K51" s="24">
        <f t="shared" ref="K51" si="94">IF(F51=0,"",J51*I51)</f>
        <v>1113.930114066</v>
      </c>
      <c r="L51" s="25">
        <f t="shared" ref="L51" si="95">IF(F51=0,"",L$19)</f>
        <v>70</v>
      </c>
      <c r="M51" s="26">
        <v>0.02</v>
      </c>
      <c r="N51" s="26">
        <f t="shared" ref="N51" si="96">IF(F51=0,"",M51*I51)</f>
        <v>23.955486323999999</v>
      </c>
      <c r="O51" s="24">
        <f t="shared" ref="O51" si="97">IF(F51=0,"",N51*L51)</f>
        <v>1676.88404268</v>
      </c>
      <c r="P51" s="27">
        <f t="shared" ref="P51" si="98">IF(F51=0,"",(K51+O51)/I51)</f>
        <v>2.33</v>
      </c>
      <c r="Q51" s="24">
        <f t="shared" ref="Q51" si="99">IF(F51=0,"",(P51*I51))</f>
        <v>2790.8141567459998</v>
      </c>
      <c r="R51" s="123"/>
    </row>
    <row r="52" spans="1:18" x14ac:dyDescent="0.35">
      <c r="A52" s="71" t="str">
        <f>IF(TRIM(G52)&lt;&gt;"",COUNTA(G$11:$G52)&amp;"","")</f>
        <v>30</v>
      </c>
      <c r="B52" s="304"/>
      <c r="C52" s="304"/>
      <c r="D52" s="34"/>
      <c r="E52" s="76" t="s">
        <v>158</v>
      </c>
      <c r="F52" s="73">
        <f>F48*3*1.83/27</f>
        <v>15.841700000000001</v>
      </c>
      <c r="G52" s="74" t="s">
        <v>157</v>
      </c>
      <c r="H52" s="22">
        <v>0.1</v>
      </c>
      <c r="I52" s="51">
        <f t="shared" ref="I52:I54" si="100">IF(F52=0,"",F52+(F52*H52))</f>
        <v>17.425870000000003</v>
      </c>
      <c r="J52" s="23">
        <v>0</v>
      </c>
      <c r="K52" s="24">
        <f t="shared" ref="K52:K54" si="101">IF(F52=0,"",J52*I52)</f>
        <v>0</v>
      </c>
      <c r="L52" s="25">
        <f t="shared" ref="L52:L54" si="102">IF(F52=0,"",L$19)</f>
        <v>70</v>
      </c>
      <c r="M52" s="26">
        <v>0.38500000000000001</v>
      </c>
      <c r="N52" s="26">
        <f t="shared" ref="N52:N54" si="103">IF(F52=0,"",M52*I52)</f>
        <v>6.7089599500000014</v>
      </c>
      <c r="O52" s="24">
        <f t="shared" ref="O52:O54" si="104">IF(F52=0,"",N52*L52)</f>
        <v>469.62719650000008</v>
      </c>
      <c r="P52" s="27">
        <f t="shared" ref="P52:P54" si="105">IF(F52=0,"",(K52+O52)/I52)</f>
        <v>26.95</v>
      </c>
      <c r="Q52" s="24">
        <f t="shared" ref="Q52:Q54" si="106">IF(F52=0,"",(P52*I52))</f>
        <v>469.62719650000008</v>
      </c>
      <c r="R52" s="123"/>
    </row>
    <row r="53" spans="1:18" x14ac:dyDescent="0.35">
      <c r="A53" s="71" t="str">
        <f>IF(TRIM(G53)&lt;&gt;"",COUNTA(G$11:$G53)&amp;"","")</f>
        <v>31</v>
      </c>
      <c r="B53" s="304"/>
      <c r="C53" s="304"/>
      <c r="D53" s="34"/>
      <c r="E53" s="76" t="s">
        <v>159</v>
      </c>
      <c r="F53" s="73">
        <f>F52-F49</f>
        <v>8.6566666666666698</v>
      </c>
      <c r="G53" s="74" t="s">
        <v>157</v>
      </c>
      <c r="H53" s="22">
        <v>0.1</v>
      </c>
      <c r="I53" s="51">
        <f t="shared" si="100"/>
        <v>9.5223333333333375</v>
      </c>
      <c r="J53" s="23">
        <v>0</v>
      </c>
      <c r="K53" s="24">
        <f t="shared" si="101"/>
        <v>0</v>
      </c>
      <c r="L53" s="25">
        <f t="shared" si="102"/>
        <v>70</v>
      </c>
      <c r="M53" s="26">
        <v>0.28499999999999998</v>
      </c>
      <c r="N53" s="26">
        <f t="shared" si="103"/>
        <v>2.7138650000000011</v>
      </c>
      <c r="O53" s="24">
        <f t="shared" si="104"/>
        <v>189.97055000000009</v>
      </c>
      <c r="P53" s="27">
        <f t="shared" si="105"/>
        <v>19.95</v>
      </c>
      <c r="Q53" s="24">
        <f t="shared" si="106"/>
        <v>189.97055000000009</v>
      </c>
      <c r="R53" s="123"/>
    </row>
    <row r="54" spans="1:18" x14ac:dyDescent="0.35">
      <c r="A54" s="71" t="str">
        <f>IF(TRIM(G54)&lt;&gt;"",COUNTA(G$11:$G54)&amp;"","")</f>
        <v>32</v>
      </c>
      <c r="B54" s="304"/>
      <c r="C54" s="304"/>
      <c r="D54" s="34"/>
      <c r="E54" s="76" t="s">
        <v>212</v>
      </c>
      <c r="F54" s="73">
        <f>(0.83+0.83+0.83+0.83)*3*F48</f>
        <v>775.98359999999991</v>
      </c>
      <c r="G54" s="74" t="s">
        <v>141</v>
      </c>
      <c r="H54" s="22">
        <v>0.1</v>
      </c>
      <c r="I54" s="51">
        <f t="shared" si="100"/>
        <v>853.58195999999987</v>
      </c>
      <c r="J54" s="23">
        <v>0</v>
      </c>
      <c r="K54" s="24">
        <f t="shared" si="101"/>
        <v>0</v>
      </c>
      <c r="L54" s="25">
        <f t="shared" si="102"/>
        <v>70</v>
      </c>
      <c r="M54" s="26">
        <v>0.05</v>
      </c>
      <c r="N54" s="26">
        <f t="shared" si="103"/>
        <v>42.679097999999996</v>
      </c>
      <c r="O54" s="24">
        <f t="shared" si="104"/>
        <v>2987.5368599999997</v>
      </c>
      <c r="P54" s="27">
        <f t="shared" si="105"/>
        <v>3.5</v>
      </c>
      <c r="Q54" s="24">
        <f t="shared" si="106"/>
        <v>2987.5368599999997</v>
      </c>
      <c r="R54" s="123"/>
    </row>
    <row r="55" spans="1:18" x14ac:dyDescent="0.35">
      <c r="A55" s="71" t="str">
        <f>IF(TRIM(G55)&lt;&gt;"",COUNTA(G$11:$G55)&amp;"","")</f>
        <v/>
      </c>
      <c r="B55" s="304"/>
      <c r="C55" s="304"/>
      <c r="D55" s="34"/>
      <c r="E55" s="76"/>
      <c r="F55" s="73"/>
      <c r="G55" s="74"/>
      <c r="H55" s="22"/>
      <c r="I55" s="51"/>
      <c r="J55" s="23"/>
      <c r="K55" s="24"/>
      <c r="L55" s="25"/>
      <c r="M55" s="26"/>
      <c r="N55" s="26"/>
      <c r="O55" s="24"/>
      <c r="P55" s="27"/>
      <c r="Q55" s="24"/>
      <c r="R55" s="123"/>
    </row>
    <row r="56" spans="1:18" x14ac:dyDescent="0.35">
      <c r="A56" s="71" t="str">
        <f>IF(TRIM(G56)&lt;&gt;"",COUNTA(G$11:$G56)&amp;"","")</f>
        <v/>
      </c>
      <c r="B56" s="304"/>
      <c r="C56" s="304"/>
      <c r="D56" s="34"/>
      <c r="E56" s="256" t="s">
        <v>225</v>
      </c>
      <c r="F56" s="73"/>
      <c r="G56" s="74"/>
      <c r="H56" s="22"/>
      <c r="I56" s="51"/>
      <c r="J56" s="23"/>
      <c r="K56" s="24"/>
      <c r="L56" s="25"/>
      <c r="M56" s="26"/>
      <c r="N56" s="26"/>
      <c r="O56" s="24"/>
      <c r="P56" s="27"/>
      <c r="Q56" s="24"/>
      <c r="R56" s="123"/>
    </row>
    <row r="57" spans="1:18" x14ac:dyDescent="0.35">
      <c r="A57" s="71" t="str">
        <f>IF(TRIM(G57)&lt;&gt;"",COUNTA(G$11:$G57)&amp;"","")</f>
        <v>33</v>
      </c>
      <c r="B57" s="304"/>
      <c r="C57" s="304"/>
      <c r="D57" s="34"/>
      <c r="E57" s="19" t="s">
        <v>226</v>
      </c>
      <c r="F57" s="255">
        <v>77.91</v>
      </c>
      <c r="G57" s="260" t="s">
        <v>154</v>
      </c>
      <c r="H57" s="22"/>
      <c r="I57" s="51"/>
      <c r="J57" s="23"/>
      <c r="K57" s="24"/>
      <c r="L57" s="25"/>
      <c r="M57" s="26"/>
      <c r="N57" s="26"/>
      <c r="O57" s="24"/>
      <c r="P57" s="27"/>
      <c r="Q57" s="24"/>
      <c r="R57" s="123"/>
    </row>
    <row r="58" spans="1:18" x14ac:dyDescent="0.35">
      <c r="A58" s="71" t="str">
        <f>IF(TRIM(G58)&lt;&gt;"",COUNTA(G$11:$G58)&amp;"","")</f>
        <v>34</v>
      </c>
      <c r="B58" s="304"/>
      <c r="C58" s="304"/>
      <c r="D58" s="34"/>
      <c r="E58" s="76" t="s">
        <v>215</v>
      </c>
      <c r="F58" s="73">
        <f>(F57*0.5*0.66)/27</f>
        <v>0.95223333333333338</v>
      </c>
      <c r="G58" s="74" t="s">
        <v>157</v>
      </c>
      <c r="H58" s="22">
        <v>0.1</v>
      </c>
      <c r="I58" s="51">
        <f t="shared" ref="I58:I59" si="107">IF(F58=0,"",F58+(F58*H58))</f>
        <v>1.0474566666666667</v>
      </c>
      <c r="J58" s="23">
        <v>215</v>
      </c>
      <c r="K58" s="24">
        <f t="shared" ref="K58:K59" si="108">IF(F58=0,"",J58*I58)</f>
        <v>225.20318333333333</v>
      </c>
      <c r="L58" s="25">
        <f t="shared" ref="L58:L59" si="109">IF(F58=0,"",L$19)</f>
        <v>70</v>
      </c>
      <c r="M58" s="26">
        <v>2.5</v>
      </c>
      <c r="N58" s="26">
        <f t="shared" ref="N58:N59" si="110">IF(F58=0,"",M58*I58)</f>
        <v>2.618641666666667</v>
      </c>
      <c r="O58" s="24">
        <f t="shared" ref="O58:O59" si="111">IF(F58=0,"",N58*L58)</f>
        <v>183.30491666666668</v>
      </c>
      <c r="P58" s="27">
        <f t="shared" ref="P58:P59" si="112">IF(F58=0,"",(K58+O58)/I58)</f>
        <v>390</v>
      </c>
      <c r="Q58" s="24">
        <f t="shared" ref="Q58:Q59" si="113">IF(F58=0,"",(P58*I58))</f>
        <v>408.50810000000001</v>
      </c>
      <c r="R58" s="123"/>
    </row>
    <row r="59" spans="1:18" x14ac:dyDescent="0.35">
      <c r="A59" s="71" t="str">
        <f>IF(TRIM(G59)&lt;&gt;"",COUNTA(G$11:$G59)&amp;"","")</f>
        <v>35</v>
      </c>
      <c r="B59" s="305"/>
      <c r="C59" s="305"/>
      <c r="D59" s="34"/>
      <c r="E59" s="76" t="s">
        <v>212</v>
      </c>
      <c r="F59" s="73">
        <f>(0.5+0.5+0.5+0.5)*0.66*F57</f>
        <v>102.8412</v>
      </c>
      <c r="G59" s="74" t="s">
        <v>141</v>
      </c>
      <c r="H59" s="22">
        <v>0.1</v>
      </c>
      <c r="I59" s="51">
        <f t="shared" si="107"/>
        <v>113.12532</v>
      </c>
      <c r="J59" s="23">
        <v>0</v>
      </c>
      <c r="K59" s="24">
        <f t="shared" si="108"/>
        <v>0</v>
      </c>
      <c r="L59" s="25">
        <f t="shared" si="109"/>
        <v>70</v>
      </c>
      <c r="M59" s="26">
        <v>0.05</v>
      </c>
      <c r="N59" s="26">
        <f t="shared" si="110"/>
        <v>5.6562660000000005</v>
      </c>
      <c r="O59" s="24">
        <f t="shared" si="111"/>
        <v>395.93862000000001</v>
      </c>
      <c r="P59" s="27">
        <f t="shared" si="112"/>
        <v>3.5</v>
      </c>
      <c r="Q59" s="24">
        <f t="shared" si="113"/>
        <v>395.93862000000001</v>
      </c>
      <c r="R59" s="123"/>
    </row>
    <row r="60" spans="1:18" ht="15" thickBot="1" x14ac:dyDescent="0.4">
      <c r="A60" s="71" t="str">
        <f>IF(TRIM(G60)&lt;&gt;"",COUNTA(G$11:$G60)&amp;"","")</f>
        <v/>
      </c>
      <c r="B60" s="75"/>
      <c r="C60" s="75"/>
      <c r="D60" s="34"/>
      <c r="E60" s="76"/>
      <c r="F60" s="73"/>
      <c r="G60" s="74"/>
      <c r="H60" s="22" t="str">
        <f t="shared" si="15"/>
        <v/>
      </c>
      <c r="I60" s="51" t="str">
        <f t="shared" si="16"/>
        <v/>
      </c>
      <c r="J60" s="23" t="str">
        <f t="shared" si="17"/>
        <v/>
      </c>
      <c r="K60" s="24" t="str">
        <f t="shared" si="18"/>
        <v/>
      </c>
      <c r="L60" s="25" t="str">
        <f t="shared" si="19"/>
        <v/>
      </c>
      <c r="M60" s="26" t="str">
        <f t="shared" si="20"/>
        <v/>
      </c>
      <c r="N60" s="26" t="str">
        <f t="shared" si="21"/>
        <v/>
      </c>
      <c r="O60" s="24" t="str">
        <f t="shared" si="22"/>
        <v/>
      </c>
      <c r="P60" s="27" t="str">
        <f t="shared" si="23"/>
        <v/>
      </c>
      <c r="Q60" s="24" t="str">
        <f t="shared" si="24"/>
        <v/>
      </c>
      <c r="R60" s="123"/>
    </row>
    <row r="61" spans="1:18" s="2" customFormat="1" ht="16" thickBot="1" x14ac:dyDescent="0.4">
      <c r="A61" s="84" t="str">
        <f>IF(TRIM(G61)&lt;&gt;"",COUNTA(G$11:$G61)&amp;"","")</f>
        <v/>
      </c>
      <c r="B61" s="1"/>
      <c r="C61" s="1"/>
      <c r="D61" s="20"/>
      <c r="E61" s="19"/>
      <c r="F61" s="179"/>
      <c r="G61" s="190"/>
      <c r="H61" s="85" t="s">
        <v>12</v>
      </c>
      <c r="I61" s="86"/>
      <c r="J61" s="87">
        <f>SUM(K$20:K$60)</f>
        <v>23726.529739034635</v>
      </c>
      <c r="K61" s="311" t="s">
        <v>13</v>
      </c>
      <c r="L61" s="312"/>
      <c r="M61" s="88">
        <f>SUM(O$20:O$60)</f>
        <v>34341.182434936018</v>
      </c>
      <c r="N61" s="311" t="s">
        <v>42</v>
      </c>
      <c r="O61" s="312"/>
      <c r="P61" s="89">
        <f>SUM(N$20:N$60)</f>
        <v>490.58832049908602</v>
      </c>
      <c r="Q61" s="191" t="s">
        <v>187</v>
      </c>
      <c r="R61" s="88">
        <f>SUM(Q$20:Q$60)</f>
        <v>58067.712173970642</v>
      </c>
    </row>
    <row r="62" spans="1:18" ht="25" customHeight="1" thickBot="1" x14ac:dyDescent="0.4">
      <c r="A62" s="181" t="str">
        <f>IF(TRIM(G62)&lt;&gt;"",COUNTA(G$11:$G62)&amp;"","")</f>
        <v/>
      </c>
      <c r="B62" s="182"/>
      <c r="C62" s="183" t="s">
        <v>120</v>
      </c>
      <c r="D62" s="193" t="s">
        <v>115</v>
      </c>
      <c r="E62" s="193" t="s">
        <v>113</v>
      </c>
      <c r="F62" s="194"/>
      <c r="G62" s="184"/>
      <c r="H62" s="182"/>
      <c r="I62" s="184"/>
      <c r="J62" s="182"/>
      <c r="K62" s="182"/>
      <c r="L62" s="202">
        <v>74</v>
      </c>
      <c r="M62" s="182"/>
      <c r="N62" s="182"/>
      <c r="O62" s="182"/>
      <c r="P62" s="182"/>
      <c r="Q62" s="182"/>
      <c r="R62" s="185"/>
    </row>
    <row r="63" spans="1:18" s="18" customFormat="1" ht="19.25" customHeight="1" x14ac:dyDescent="0.35">
      <c r="A63" s="71" t="str">
        <f>IF(TRIM(G63)&lt;&gt;"",COUNTA(G$11:$G63)&amp;"","")</f>
        <v/>
      </c>
      <c r="B63" s="33"/>
      <c r="C63" s="33"/>
      <c r="D63" s="207" t="s">
        <v>65</v>
      </c>
      <c r="E63" s="205" t="s">
        <v>64</v>
      </c>
      <c r="F63" s="73"/>
      <c r="G63" s="74"/>
      <c r="H63" s="22" t="str">
        <f t="shared" ref="H63:H69" si="114">IF(F63=0,"",0)</f>
        <v/>
      </c>
      <c r="I63" s="51" t="str">
        <f t="shared" ref="I63:I69" si="115">IF(F63=0,"",F63+(F63*H63))</f>
        <v/>
      </c>
      <c r="J63" s="23" t="str">
        <f t="shared" ref="J63:J69" si="116">IF(F63=0,"",0)</f>
        <v/>
      </c>
      <c r="K63" s="24" t="str">
        <f t="shared" ref="K63:K69" si="117">IF(F63=0,"",J63*I63)</f>
        <v/>
      </c>
      <c r="L63" s="25" t="str">
        <f t="shared" ref="L63:L69" si="118">IF(F63=0,"",L$62)</f>
        <v/>
      </c>
      <c r="M63" s="26" t="str">
        <f t="shared" ref="M63:M69" si="119">IF(F63=0,"",0)</f>
        <v/>
      </c>
      <c r="N63" s="26" t="str">
        <f t="shared" ref="N63:N69" si="120">IF(F63=0,"",M63*I63)</f>
        <v/>
      </c>
      <c r="O63" s="24" t="str">
        <f t="shared" ref="O63:O69" si="121">IF(F63=0,"",N63*L63)</f>
        <v/>
      </c>
      <c r="P63" s="27" t="str">
        <f t="shared" ref="P63:P69" si="122">IF(F63=0,"",(K63+O63)/I63)</f>
        <v/>
      </c>
      <c r="Q63" s="24" t="str">
        <f t="shared" ref="Q63:Q69" si="123">IF(F63=0,"",(P63*I63))</f>
        <v/>
      </c>
      <c r="R63" s="125"/>
    </row>
    <row r="64" spans="1:18" x14ac:dyDescent="0.35">
      <c r="A64" s="71" t="str">
        <f>IF(TRIM(G64)&lt;&gt;"",COUNTA(G$11:$G64)&amp;"","")</f>
        <v>36</v>
      </c>
      <c r="B64" s="33" t="s">
        <v>628</v>
      </c>
      <c r="C64" s="33" t="s">
        <v>628</v>
      </c>
      <c r="D64" s="34"/>
      <c r="E64" s="56" t="s">
        <v>506</v>
      </c>
      <c r="F64" s="73">
        <v>31</v>
      </c>
      <c r="G64" s="74" t="s">
        <v>154</v>
      </c>
      <c r="H64" s="22">
        <v>0.1</v>
      </c>
      <c r="I64" s="51">
        <f t="shared" si="115"/>
        <v>34.1</v>
      </c>
      <c r="J64" s="23">
        <v>28</v>
      </c>
      <c r="K64" s="24">
        <f t="shared" si="117"/>
        <v>954.80000000000007</v>
      </c>
      <c r="L64" s="25">
        <f t="shared" si="118"/>
        <v>74</v>
      </c>
      <c r="M64" s="26">
        <v>0.25</v>
      </c>
      <c r="N64" s="26">
        <f t="shared" si="120"/>
        <v>8.5250000000000004</v>
      </c>
      <c r="O64" s="24">
        <f t="shared" si="121"/>
        <v>630.85</v>
      </c>
      <c r="P64" s="27">
        <f t="shared" si="122"/>
        <v>46.5</v>
      </c>
      <c r="Q64" s="24">
        <f t="shared" si="123"/>
        <v>1585.65</v>
      </c>
      <c r="R64" s="123"/>
    </row>
    <row r="65" spans="1:20" x14ac:dyDescent="0.35">
      <c r="A65" s="71" t="str">
        <f>IF(TRIM(G65)&lt;&gt;"",COUNTA(G$11:$G65)&amp;"","")</f>
        <v/>
      </c>
      <c r="B65" s="72"/>
      <c r="C65" s="72"/>
      <c r="D65" s="34"/>
      <c r="E65" s="56"/>
      <c r="F65" s="73"/>
      <c r="G65" s="74"/>
      <c r="H65" s="22" t="str">
        <f t="shared" si="114"/>
        <v/>
      </c>
      <c r="I65" s="51" t="str">
        <f t="shared" si="115"/>
        <v/>
      </c>
      <c r="J65" s="23"/>
      <c r="K65" s="24" t="str">
        <f t="shared" si="117"/>
        <v/>
      </c>
      <c r="L65" s="25" t="str">
        <f t="shared" si="118"/>
        <v/>
      </c>
      <c r="M65" s="26"/>
      <c r="N65" s="26" t="str">
        <f t="shared" si="120"/>
        <v/>
      </c>
      <c r="O65" s="24" t="str">
        <f t="shared" si="121"/>
        <v/>
      </c>
      <c r="P65" s="27" t="str">
        <f t="shared" si="122"/>
        <v/>
      </c>
      <c r="Q65" s="24" t="str">
        <f t="shared" si="123"/>
        <v/>
      </c>
      <c r="R65" s="123"/>
    </row>
    <row r="66" spans="1:20" s="18" customFormat="1" ht="19.25" customHeight="1" x14ac:dyDescent="0.35">
      <c r="A66" s="71" t="str">
        <f>IF(TRIM(G66)&lt;&gt;"",COUNTA(G$11:$G66)&amp;"","")</f>
        <v/>
      </c>
      <c r="B66" s="33"/>
      <c r="C66" s="33"/>
      <c r="D66" s="207" t="s">
        <v>184</v>
      </c>
      <c r="E66" s="205" t="s">
        <v>66</v>
      </c>
      <c r="F66" s="73"/>
      <c r="G66" s="74"/>
      <c r="H66" s="22" t="str">
        <f t="shared" si="114"/>
        <v/>
      </c>
      <c r="I66" s="51" t="str">
        <f t="shared" si="115"/>
        <v/>
      </c>
      <c r="J66" s="23"/>
      <c r="K66" s="24" t="str">
        <f t="shared" si="117"/>
        <v/>
      </c>
      <c r="L66" s="25" t="str">
        <f t="shared" si="118"/>
        <v/>
      </c>
      <c r="M66" s="26"/>
      <c r="N66" s="26" t="str">
        <f t="shared" si="120"/>
        <v/>
      </c>
      <c r="O66" s="24" t="str">
        <f t="shared" si="121"/>
        <v/>
      </c>
      <c r="P66" s="27" t="str">
        <f t="shared" si="122"/>
        <v/>
      </c>
      <c r="Q66" s="24" t="str">
        <f t="shared" si="123"/>
        <v/>
      </c>
      <c r="R66" s="125"/>
    </row>
    <row r="67" spans="1:20" ht="29" x14ac:dyDescent="0.35">
      <c r="A67" s="71" t="str">
        <f>IF(TRIM(G67)&lt;&gt;"",COUNTA(G$11:$G67)&amp;"","")</f>
        <v>37</v>
      </c>
      <c r="B67" s="309" t="s">
        <v>631</v>
      </c>
      <c r="C67" s="309" t="s">
        <v>631</v>
      </c>
      <c r="D67" s="34"/>
      <c r="E67" s="56" t="s">
        <v>241</v>
      </c>
      <c r="F67" s="73">
        <v>3</v>
      </c>
      <c r="G67" s="74" t="s">
        <v>192</v>
      </c>
      <c r="H67" s="22">
        <f t="shared" si="114"/>
        <v>0</v>
      </c>
      <c r="I67" s="51">
        <f t="shared" si="115"/>
        <v>3</v>
      </c>
      <c r="J67" s="23">
        <v>1200</v>
      </c>
      <c r="K67" s="24">
        <f t="shared" si="117"/>
        <v>3600</v>
      </c>
      <c r="L67" s="25">
        <f t="shared" si="118"/>
        <v>74</v>
      </c>
      <c r="M67" s="26">
        <v>12</v>
      </c>
      <c r="N67" s="26">
        <f t="shared" si="120"/>
        <v>36</v>
      </c>
      <c r="O67" s="24">
        <f t="shared" si="121"/>
        <v>2664</v>
      </c>
      <c r="P67" s="27">
        <f t="shared" si="122"/>
        <v>2088</v>
      </c>
      <c r="Q67" s="24">
        <f t="shared" si="123"/>
        <v>6264</v>
      </c>
      <c r="R67" s="123"/>
    </row>
    <row r="68" spans="1:20" ht="29" x14ac:dyDescent="0.35">
      <c r="A68" s="71" t="str">
        <f>IF(TRIM(G68)&lt;&gt;"",COUNTA(G$11:$G68)&amp;"","")</f>
        <v>38</v>
      </c>
      <c r="B68" s="310"/>
      <c r="C68" s="310"/>
      <c r="D68" s="34"/>
      <c r="E68" s="56" t="s">
        <v>242</v>
      </c>
      <c r="F68" s="73">
        <v>1</v>
      </c>
      <c r="G68" s="74" t="s">
        <v>192</v>
      </c>
      <c r="H68" s="22">
        <f t="shared" si="114"/>
        <v>0</v>
      </c>
      <c r="I68" s="51">
        <f t="shared" si="115"/>
        <v>1</v>
      </c>
      <c r="J68" s="23">
        <v>1500</v>
      </c>
      <c r="K68" s="24">
        <f t="shared" si="117"/>
        <v>1500</v>
      </c>
      <c r="L68" s="25">
        <f t="shared" si="118"/>
        <v>74</v>
      </c>
      <c r="M68" s="26">
        <v>16</v>
      </c>
      <c r="N68" s="26">
        <f t="shared" si="120"/>
        <v>16</v>
      </c>
      <c r="O68" s="24">
        <f t="shared" si="121"/>
        <v>1184</v>
      </c>
      <c r="P68" s="27">
        <f t="shared" si="122"/>
        <v>2684</v>
      </c>
      <c r="Q68" s="24">
        <f t="shared" si="123"/>
        <v>2684</v>
      </c>
      <c r="R68" s="123"/>
    </row>
    <row r="69" spans="1:20" s="2" customFormat="1" ht="16" thickBot="1" x14ac:dyDescent="0.4">
      <c r="A69" s="71" t="str">
        <f>IF(TRIM(G69)&lt;&gt;"",COUNTA(G$11:$G69)&amp;"","")</f>
        <v/>
      </c>
      <c r="B69" s="1"/>
      <c r="C69" s="1"/>
      <c r="D69" s="20"/>
      <c r="E69" s="19"/>
      <c r="F69" s="73"/>
      <c r="G69" s="74"/>
      <c r="H69" s="22" t="str">
        <f t="shared" si="114"/>
        <v/>
      </c>
      <c r="I69" s="51" t="str">
        <f t="shared" si="115"/>
        <v/>
      </c>
      <c r="J69" s="23" t="str">
        <f t="shared" si="116"/>
        <v/>
      </c>
      <c r="K69" s="24" t="str">
        <f t="shared" si="117"/>
        <v/>
      </c>
      <c r="L69" s="25" t="str">
        <f t="shared" si="118"/>
        <v/>
      </c>
      <c r="M69" s="26" t="str">
        <f t="shared" si="119"/>
        <v/>
      </c>
      <c r="N69" s="26" t="str">
        <f t="shared" si="120"/>
        <v/>
      </c>
      <c r="O69" s="24" t="str">
        <f t="shared" si="121"/>
        <v/>
      </c>
      <c r="P69" s="27" t="str">
        <f t="shared" si="122"/>
        <v/>
      </c>
      <c r="Q69" s="24" t="str">
        <f t="shared" si="123"/>
        <v/>
      </c>
      <c r="R69" s="126"/>
    </row>
    <row r="70" spans="1:20" s="2" customFormat="1" ht="16" thickBot="1" x14ac:dyDescent="0.4">
      <c r="A70" s="84" t="str">
        <f>IF(TRIM(G70)&lt;&gt;"",COUNTA(G$11:$G70)&amp;"","")</f>
        <v/>
      </c>
      <c r="B70" s="1"/>
      <c r="C70" s="1"/>
      <c r="D70" s="20"/>
      <c r="E70" s="19"/>
      <c r="F70" s="179"/>
      <c r="G70" s="190"/>
      <c r="H70" s="85" t="s">
        <v>12</v>
      </c>
      <c r="I70" s="86"/>
      <c r="J70" s="87">
        <f>SUM(K$63:K$69)</f>
        <v>6054.8</v>
      </c>
      <c r="K70" s="311" t="s">
        <v>13</v>
      </c>
      <c r="L70" s="312"/>
      <c r="M70" s="87">
        <f>SUM(O$63:O$69)</f>
        <v>4478.8500000000004</v>
      </c>
      <c r="N70" s="311" t="s">
        <v>42</v>
      </c>
      <c r="O70" s="312"/>
      <c r="P70" s="89">
        <f>SUM(N$63:N$69)</f>
        <v>60.524999999999999</v>
      </c>
      <c r="Q70" s="191" t="s">
        <v>187</v>
      </c>
      <c r="R70" s="88">
        <f>SUM(Q$63:Q$69)</f>
        <v>10533.65</v>
      </c>
      <c r="T70" s="285"/>
    </row>
    <row r="71" spans="1:20" ht="25" customHeight="1" thickBot="1" x14ac:dyDescent="0.4">
      <c r="A71" s="181" t="str">
        <f>IF(TRIM(G71)&lt;&gt;"",COUNTA(G$11:$G71)&amp;"","")</f>
        <v/>
      </c>
      <c r="B71" s="182"/>
      <c r="C71" s="183" t="s">
        <v>120</v>
      </c>
      <c r="D71" s="204" t="s">
        <v>114</v>
      </c>
      <c r="E71" s="193" t="s">
        <v>51</v>
      </c>
      <c r="F71" s="194"/>
      <c r="G71" s="184"/>
      <c r="H71" s="182" t="str">
        <f t="shared" ref="H71:H80" si="124">IF(F71=0,"",0)</f>
        <v/>
      </c>
      <c r="I71" s="184" t="str">
        <f t="shared" ref="I71:I80" si="125">IF(F71=0,"",F71+(F71*H71))</f>
        <v/>
      </c>
      <c r="J71" s="182" t="str">
        <f t="shared" ref="J71:J72" si="126">IF(F71=0,"",0)</f>
        <v/>
      </c>
      <c r="K71" s="182" t="str">
        <f t="shared" ref="K71:K81" si="127">IF(F71=0,"",J71*I71)</f>
        <v/>
      </c>
      <c r="L71" s="202">
        <v>78</v>
      </c>
      <c r="M71" s="182" t="str">
        <f t="shared" ref="M71:M72" si="128">IF(F71=0,"",0)</f>
        <v/>
      </c>
      <c r="N71" s="182" t="str">
        <f t="shared" ref="N71:N80" si="129">IF(F71=0,"",M71*I71)</f>
        <v/>
      </c>
      <c r="O71" s="182" t="str">
        <f t="shared" ref="O71:O80" si="130">IF(F71=0,"",N71*L71)</f>
        <v/>
      </c>
      <c r="P71" s="182" t="str">
        <f t="shared" ref="P71" si="131">IF(F71=0,"",K71+O71)</f>
        <v/>
      </c>
      <c r="Q71" s="182"/>
      <c r="R71" s="185"/>
    </row>
    <row r="72" spans="1:20" s="18" customFormat="1" ht="19.25" customHeight="1" x14ac:dyDescent="0.35">
      <c r="A72" s="71" t="str">
        <f>IF(TRIM(G72)&lt;&gt;"",COUNTA(G$11:$G72)&amp;"","")</f>
        <v/>
      </c>
      <c r="B72" s="33"/>
      <c r="C72" s="33"/>
      <c r="D72" s="207" t="s">
        <v>68</v>
      </c>
      <c r="E72" s="205" t="s">
        <v>67</v>
      </c>
      <c r="F72" s="73"/>
      <c r="G72" s="74"/>
      <c r="H72" s="22" t="str">
        <f t="shared" si="124"/>
        <v/>
      </c>
      <c r="I72" s="51" t="str">
        <f t="shared" si="125"/>
        <v/>
      </c>
      <c r="J72" s="23" t="str">
        <f t="shared" si="126"/>
        <v/>
      </c>
      <c r="K72" s="24" t="str">
        <f t="shared" si="127"/>
        <v/>
      </c>
      <c r="L72" s="25" t="str">
        <f t="shared" ref="L72:L74" si="132">IF(F72=0,"",L$71)</f>
        <v/>
      </c>
      <c r="M72" s="26" t="str">
        <f t="shared" si="128"/>
        <v/>
      </c>
      <c r="N72" s="26" t="str">
        <f t="shared" si="129"/>
        <v/>
      </c>
      <c r="O72" s="24" t="str">
        <f t="shared" si="130"/>
        <v/>
      </c>
      <c r="P72" s="27" t="str">
        <f t="shared" ref="P72:P84" si="133">IF(F72=0,"",(K72+O72)/I72)</f>
        <v/>
      </c>
      <c r="Q72" s="24" t="str">
        <f t="shared" ref="Q72:Q84" si="134">IF(F72=0,"",(P72*I72))</f>
        <v/>
      </c>
      <c r="R72" s="125"/>
    </row>
    <row r="73" spans="1:20" x14ac:dyDescent="0.35">
      <c r="A73" s="71" t="str">
        <f>IF(TRIM(G73)&lt;&gt;"",COUNTA(G$11:$G73)&amp;"","")</f>
        <v/>
      </c>
      <c r="B73" s="72"/>
      <c r="C73" s="72"/>
      <c r="D73" s="34"/>
      <c r="E73" s="256" t="s">
        <v>200</v>
      </c>
      <c r="F73" s="73"/>
      <c r="G73" s="74"/>
      <c r="H73" s="22" t="str">
        <f t="shared" ref="H73" si="135">IF(F73=0,"",0)</f>
        <v/>
      </c>
      <c r="I73" s="51" t="str">
        <f t="shared" ref="I73:I74" si="136">IF(F73=0,"",F73+(F73*H73))</f>
        <v/>
      </c>
      <c r="J73" s="23"/>
      <c r="K73" s="24" t="str">
        <f t="shared" ref="K73:K74" si="137">IF(F73=0,"",J73*I73)</f>
        <v/>
      </c>
      <c r="L73" s="25" t="str">
        <f t="shared" si="132"/>
        <v/>
      </c>
      <c r="M73" s="26" t="str">
        <f t="shared" ref="M73" si="138">IF(F73=0,"",0)</f>
        <v/>
      </c>
      <c r="N73" s="26" t="str">
        <f t="shared" ref="N73:N74" si="139">IF(F73=0,"",M73*I73)</f>
        <v/>
      </c>
      <c r="O73" s="24" t="str">
        <f t="shared" ref="O73:O74" si="140">IF(F73=0,"",N73*L73)</f>
        <v/>
      </c>
      <c r="P73" s="27" t="str">
        <f t="shared" ref="P73:P74" si="141">IF(F73=0,"",(K73+O73)/I73)</f>
        <v/>
      </c>
      <c r="Q73" s="24" t="str">
        <f t="shared" ref="Q73:Q74" si="142">IF(F73=0,"",(P73*I73))</f>
        <v/>
      </c>
      <c r="R73" s="123"/>
    </row>
    <row r="74" spans="1:20" x14ac:dyDescent="0.35">
      <c r="A74" s="71" t="str">
        <f>IF(TRIM(G74)&lt;&gt;"",COUNTA(G$11:$G74)&amp;"","")</f>
        <v>39</v>
      </c>
      <c r="B74" s="303" t="s">
        <v>628</v>
      </c>
      <c r="C74" s="303" t="s">
        <v>628</v>
      </c>
      <c r="D74" s="34"/>
      <c r="E74" s="56" t="s">
        <v>507</v>
      </c>
      <c r="F74" s="73">
        <v>746</v>
      </c>
      <c r="G74" s="74" t="s">
        <v>154</v>
      </c>
      <c r="H74" s="22">
        <v>0.1</v>
      </c>
      <c r="I74" s="51">
        <f t="shared" si="136"/>
        <v>820.6</v>
      </c>
      <c r="J74" s="23">
        <v>0.78</v>
      </c>
      <c r="K74" s="24">
        <f t="shared" si="137"/>
        <v>640.06799999999998</v>
      </c>
      <c r="L74" s="25">
        <f t="shared" si="132"/>
        <v>78</v>
      </c>
      <c r="M74" s="26">
        <v>5.4300000000000001E-2</v>
      </c>
      <c r="N74" s="26">
        <f t="shared" si="139"/>
        <v>44.558579999999999</v>
      </c>
      <c r="O74" s="24">
        <f t="shared" si="140"/>
        <v>3475.5692399999998</v>
      </c>
      <c r="P74" s="27">
        <f t="shared" si="141"/>
        <v>5.0153999999999996</v>
      </c>
      <c r="Q74" s="24">
        <f t="shared" si="142"/>
        <v>4115.63724</v>
      </c>
      <c r="R74" s="123"/>
    </row>
    <row r="75" spans="1:20" x14ac:dyDescent="0.35">
      <c r="A75" s="71" t="str">
        <f>IF(TRIM(G75)&lt;&gt;"",COUNTA(G$11:$G75)&amp;"","")</f>
        <v/>
      </c>
      <c r="B75" s="304"/>
      <c r="C75" s="304"/>
      <c r="D75" s="34"/>
      <c r="E75" s="56"/>
      <c r="F75" s="73"/>
      <c r="G75" s="74"/>
      <c r="H75" s="22" t="str">
        <f t="shared" si="124"/>
        <v/>
      </c>
      <c r="I75" s="51" t="str">
        <f t="shared" si="125"/>
        <v/>
      </c>
      <c r="J75" s="23"/>
      <c r="K75" s="24" t="str">
        <f t="shared" si="127"/>
        <v/>
      </c>
      <c r="L75" s="25" t="str">
        <f>IF(F75=0,"",L$71)</f>
        <v/>
      </c>
      <c r="M75" s="26"/>
      <c r="N75" s="26" t="str">
        <f t="shared" si="129"/>
        <v/>
      </c>
      <c r="O75" s="24" t="str">
        <f t="shared" si="130"/>
        <v/>
      </c>
      <c r="P75" s="27" t="str">
        <f t="shared" si="133"/>
        <v/>
      </c>
      <c r="Q75" s="24" t="str">
        <f t="shared" si="134"/>
        <v/>
      </c>
      <c r="R75" s="123"/>
    </row>
    <row r="76" spans="1:20" s="18" customFormat="1" ht="19.25" customHeight="1" x14ac:dyDescent="0.35">
      <c r="A76" s="71" t="str">
        <f>IF(TRIM(G76)&lt;&gt;"",COUNTA(G$11:$G76)&amp;"","")</f>
        <v/>
      </c>
      <c r="B76" s="304"/>
      <c r="C76" s="304"/>
      <c r="D76" s="207" t="s">
        <v>70</v>
      </c>
      <c r="E76" s="205" t="s">
        <v>69</v>
      </c>
      <c r="F76" s="73"/>
      <c r="G76" s="74"/>
      <c r="H76" s="22" t="str">
        <f t="shared" si="124"/>
        <v/>
      </c>
      <c r="I76" s="51" t="str">
        <f t="shared" si="125"/>
        <v/>
      </c>
      <c r="J76" s="23"/>
      <c r="K76" s="24" t="str">
        <f t="shared" si="127"/>
        <v/>
      </c>
      <c r="L76" s="25" t="str">
        <f>IF(F76=0,"",L$71)</f>
        <v/>
      </c>
      <c r="M76" s="26"/>
      <c r="N76" s="26" t="str">
        <f t="shared" si="129"/>
        <v/>
      </c>
      <c r="O76" s="24" t="str">
        <f t="shared" si="130"/>
        <v/>
      </c>
      <c r="P76" s="27" t="str">
        <f t="shared" si="133"/>
        <v/>
      </c>
      <c r="Q76" s="24" t="str">
        <f t="shared" si="134"/>
        <v/>
      </c>
      <c r="R76" s="125"/>
    </row>
    <row r="77" spans="1:20" ht="29" x14ac:dyDescent="0.35">
      <c r="A77" s="71" t="str">
        <f>IF(TRIM(G77)&lt;&gt;"",COUNTA(G$11:$G77)&amp;"","")</f>
        <v>40</v>
      </c>
      <c r="B77" s="304"/>
      <c r="C77" s="304"/>
      <c r="D77" s="34"/>
      <c r="E77" s="56" t="s">
        <v>244</v>
      </c>
      <c r="F77" s="73">
        <f>2942.32-386</f>
        <v>2556.3200000000002</v>
      </c>
      <c r="G77" s="74" t="s">
        <v>154</v>
      </c>
      <c r="H77" s="22">
        <v>0.1</v>
      </c>
      <c r="I77" s="51">
        <f t="shared" si="125"/>
        <v>2811.9520000000002</v>
      </c>
      <c r="J77" s="23">
        <v>2.5499999999999998</v>
      </c>
      <c r="K77" s="24">
        <f t="shared" si="127"/>
        <v>7170.4776000000002</v>
      </c>
      <c r="L77" s="25">
        <f>IF(F77=0,"",L$71)</f>
        <v>78</v>
      </c>
      <c r="M77" s="26">
        <v>0.03</v>
      </c>
      <c r="N77" s="26">
        <f t="shared" si="129"/>
        <v>84.358559999999997</v>
      </c>
      <c r="O77" s="24">
        <f t="shared" si="130"/>
        <v>6579.9676799999997</v>
      </c>
      <c r="P77" s="27">
        <f t="shared" si="133"/>
        <v>4.8899999999999997</v>
      </c>
      <c r="Q77" s="24">
        <f t="shared" si="134"/>
        <v>13750.44528</v>
      </c>
      <c r="R77" s="123"/>
    </row>
    <row r="78" spans="1:20" ht="29" x14ac:dyDescent="0.35">
      <c r="A78" s="71" t="str">
        <f>IF(TRIM(G78)&lt;&gt;"",COUNTA(G$11:$G78)&amp;"","")</f>
        <v>41</v>
      </c>
      <c r="B78" s="304"/>
      <c r="C78" s="304"/>
      <c r="D78" s="34"/>
      <c r="E78" s="56" t="s">
        <v>243</v>
      </c>
      <c r="F78" s="73">
        <v>1097</v>
      </c>
      <c r="G78" s="74" t="s">
        <v>154</v>
      </c>
      <c r="H78" s="22">
        <v>0.1</v>
      </c>
      <c r="I78" s="51">
        <f t="shared" si="125"/>
        <v>1206.7</v>
      </c>
      <c r="J78" s="23">
        <v>2.5499999999999998</v>
      </c>
      <c r="K78" s="24">
        <f t="shared" si="127"/>
        <v>3077.085</v>
      </c>
      <c r="L78" s="25">
        <f>IF(F78=0,"",L$71)</f>
        <v>78</v>
      </c>
      <c r="M78" s="26">
        <v>0.03</v>
      </c>
      <c r="N78" s="26">
        <f t="shared" si="129"/>
        <v>36.201000000000001</v>
      </c>
      <c r="O78" s="24">
        <f t="shared" si="130"/>
        <v>2823.6779999999999</v>
      </c>
      <c r="P78" s="27">
        <f t="shared" si="133"/>
        <v>4.8899999999999997</v>
      </c>
      <c r="Q78" s="24">
        <f t="shared" si="134"/>
        <v>5900.7629999999999</v>
      </c>
      <c r="R78" s="123"/>
    </row>
    <row r="79" spans="1:20" x14ac:dyDescent="0.35">
      <c r="A79" s="71" t="str">
        <f>IF(TRIM(G79)&lt;&gt;"",COUNTA(G$11:$G79)&amp;"","")</f>
        <v/>
      </c>
      <c r="B79" s="304"/>
      <c r="C79" s="304"/>
      <c r="D79" s="34"/>
      <c r="E79" s="56"/>
      <c r="F79" s="73"/>
      <c r="G79" s="74"/>
      <c r="H79" s="22"/>
      <c r="I79" s="51"/>
      <c r="J79" s="23"/>
      <c r="K79" s="24"/>
      <c r="L79" s="25"/>
      <c r="M79" s="26"/>
      <c r="N79" s="26"/>
      <c r="O79" s="24"/>
      <c r="P79" s="27"/>
      <c r="Q79" s="24"/>
      <c r="R79" s="123"/>
    </row>
    <row r="80" spans="1:20" s="18" customFormat="1" ht="19.25" customHeight="1" x14ac:dyDescent="0.35">
      <c r="A80" s="71" t="str">
        <f>IF(TRIM(G80)&lt;&gt;"",COUNTA(G$11:$G80)&amp;"","")</f>
        <v/>
      </c>
      <c r="B80" s="304"/>
      <c r="C80" s="304"/>
      <c r="D80" s="207" t="s">
        <v>72</v>
      </c>
      <c r="E80" s="205" t="s">
        <v>71</v>
      </c>
      <c r="F80" s="73"/>
      <c r="G80" s="74"/>
      <c r="H80" s="22" t="str">
        <f t="shared" si="124"/>
        <v/>
      </c>
      <c r="I80" s="51" t="str">
        <f t="shared" si="125"/>
        <v/>
      </c>
      <c r="J80" s="23"/>
      <c r="K80" s="24" t="str">
        <f t="shared" si="127"/>
        <v/>
      </c>
      <c r="L80" s="25" t="str">
        <f>IF(F80=0,"",L$71)</f>
        <v/>
      </c>
      <c r="M80" s="26"/>
      <c r="N80" s="26" t="str">
        <f t="shared" si="129"/>
        <v/>
      </c>
      <c r="O80" s="24" t="str">
        <f t="shared" si="130"/>
        <v/>
      </c>
      <c r="P80" s="27" t="str">
        <f t="shared" si="133"/>
        <v/>
      </c>
      <c r="Q80" s="24" t="str">
        <f t="shared" si="134"/>
        <v/>
      </c>
      <c r="R80" s="125"/>
    </row>
    <row r="81" spans="1:20" x14ac:dyDescent="0.35">
      <c r="A81" s="71" t="str">
        <f>IF(TRIM(G81)&lt;&gt;"",COUNTA(G$11:$G81)&amp;"","")</f>
        <v>42</v>
      </c>
      <c r="B81" s="304"/>
      <c r="C81" s="304"/>
      <c r="D81" s="34"/>
      <c r="E81" s="56" t="s">
        <v>240</v>
      </c>
      <c r="F81" s="73">
        <v>203.19</v>
      </c>
      <c r="G81" s="74" t="s">
        <v>154</v>
      </c>
      <c r="H81" s="22">
        <v>0.1</v>
      </c>
      <c r="I81" s="51">
        <f>IF(F81=0,"",F81+(F81*H81))</f>
        <v>223.50900000000001</v>
      </c>
      <c r="J81" s="23">
        <v>0.78</v>
      </c>
      <c r="K81" s="24">
        <f t="shared" si="127"/>
        <v>174.33702000000002</v>
      </c>
      <c r="L81" s="25">
        <f t="shared" ref="L81" si="143">IF(F81=0,"",L$71)</f>
        <v>78</v>
      </c>
      <c r="M81" s="26">
        <v>5.4300000000000001E-2</v>
      </c>
      <c r="N81" s="26">
        <f>IF(F81=0,"",M81*I81)</f>
        <v>12.136538700000001</v>
      </c>
      <c r="O81" s="24">
        <f>IF(F81=0,"",N81*L81)</f>
        <v>946.65001860000007</v>
      </c>
      <c r="P81" s="27">
        <f>IF(F81=0,"",(K81+O81)/I81)</f>
        <v>5.0153999999999996</v>
      </c>
      <c r="Q81" s="24">
        <f>IF(F81=0,"",(P81*I81))</f>
        <v>1120.9870386</v>
      </c>
      <c r="R81" s="123"/>
    </row>
    <row r="82" spans="1:20" x14ac:dyDescent="0.35">
      <c r="A82" s="71" t="str">
        <f>IF(TRIM(G82)&lt;&gt;"",COUNTA(G$11:$G82)&amp;"","")</f>
        <v/>
      </c>
      <c r="B82" s="304"/>
      <c r="C82" s="304"/>
      <c r="D82" s="34"/>
      <c r="E82" s="56"/>
      <c r="F82" s="73"/>
      <c r="G82" s="74"/>
      <c r="H82" s="22"/>
      <c r="I82" s="51"/>
      <c r="J82" s="23"/>
      <c r="K82" s="24"/>
      <c r="L82" s="25"/>
      <c r="M82" s="26"/>
      <c r="N82" s="26"/>
      <c r="O82" s="24"/>
      <c r="P82" s="27"/>
      <c r="Q82" s="24"/>
      <c r="R82" s="123"/>
    </row>
    <row r="83" spans="1:20" s="18" customFormat="1" ht="19.25" customHeight="1" x14ac:dyDescent="0.35">
      <c r="A83" s="71" t="str">
        <f>IF(TRIM(G83)&lt;&gt;"",COUNTA(G$11:$G83)&amp;"","")</f>
        <v/>
      </c>
      <c r="B83" s="304"/>
      <c r="C83" s="304"/>
      <c r="D83" s="207" t="s">
        <v>176</v>
      </c>
      <c r="E83" s="205" t="s">
        <v>177</v>
      </c>
      <c r="F83" s="73"/>
      <c r="G83" s="74"/>
      <c r="H83" s="22" t="str">
        <f t="shared" ref="H83" si="144">IF(F83=0,"",0)</f>
        <v/>
      </c>
      <c r="I83" s="51" t="str">
        <f t="shared" ref="I83:I84" si="145">IF(F83=0,"",F83+(F83*H83))</f>
        <v/>
      </c>
      <c r="J83" s="23"/>
      <c r="K83" s="24" t="str">
        <f t="shared" ref="K83:K84" si="146">IF(F83=0,"",J83*I83)</f>
        <v/>
      </c>
      <c r="L83" s="25" t="str">
        <f>IF(F83=0,"",L$71)</f>
        <v/>
      </c>
      <c r="M83" s="26"/>
      <c r="N83" s="26" t="str">
        <f t="shared" ref="N83:N84" si="147">IF(F83=0,"",M83*I83)</f>
        <v/>
      </c>
      <c r="O83" s="24" t="str">
        <f t="shared" ref="O83:O84" si="148">IF(F83=0,"",N83*L83)</f>
        <v/>
      </c>
      <c r="P83" s="27" t="str">
        <f t="shared" si="133"/>
        <v/>
      </c>
      <c r="Q83" s="24" t="str">
        <f t="shared" si="134"/>
        <v/>
      </c>
      <c r="R83" s="125"/>
    </row>
    <row r="84" spans="1:20" ht="29" x14ac:dyDescent="0.35">
      <c r="A84" s="71" t="str">
        <f>IF(TRIM(G84)&lt;&gt;"",COUNTA(G$11:$G84)&amp;"","")</f>
        <v>43</v>
      </c>
      <c r="B84" s="305"/>
      <c r="C84" s="305"/>
      <c r="D84" s="34"/>
      <c r="E84" s="56" t="s">
        <v>239</v>
      </c>
      <c r="F84" s="73">
        <v>127.99</v>
      </c>
      <c r="G84" s="74" t="s">
        <v>154</v>
      </c>
      <c r="H84" s="22">
        <v>0</v>
      </c>
      <c r="I84" s="51">
        <f t="shared" si="145"/>
        <v>127.99</v>
      </c>
      <c r="J84" s="23">
        <v>48</v>
      </c>
      <c r="K84" s="24">
        <f t="shared" si="146"/>
        <v>6143.5199999999995</v>
      </c>
      <c r="L84" s="25">
        <f>IF(F84=0,"",L$71)</f>
        <v>78</v>
      </c>
      <c r="M84" s="26">
        <v>0.45</v>
      </c>
      <c r="N84" s="26">
        <f t="shared" si="147"/>
        <v>57.595500000000001</v>
      </c>
      <c r="O84" s="24">
        <f t="shared" si="148"/>
        <v>4492.4490000000005</v>
      </c>
      <c r="P84" s="27">
        <f t="shared" si="133"/>
        <v>83.100000000000009</v>
      </c>
      <c r="Q84" s="24">
        <f t="shared" si="134"/>
        <v>10635.969000000001</v>
      </c>
      <c r="R84" s="123"/>
    </row>
    <row r="85" spans="1:20" ht="15" thickBot="1" x14ac:dyDescent="0.4">
      <c r="A85" s="71" t="str">
        <f>IF(TRIM(G85)&lt;&gt;"",COUNTA(G$11:$G85)&amp;"","")</f>
        <v/>
      </c>
      <c r="B85" s="75"/>
      <c r="C85" s="75"/>
      <c r="D85" s="34"/>
      <c r="E85" s="56"/>
      <c r="F85" s="73"/>
      <c r="G85" s="74"/>
      <c r="H85" s="22"/>
      <c r="I85" s="51"/>
      <c r="J85" s="23"/>
      <c r="K85" s="24"/>
      <c r="L85" s="25"/>
      <c r="M85" s="26"/>
      <c r="N85" s="26"/>
      <c r="O85" s="24"/>
      <c r="P85" s="27"/>
      <c r="Q85" s="24"/>
      <c r="R85" s="123"/>
    </row>
    <row r="86" spans="1:20" s="2" customFormat="1" ht="16" thickBot="1" x14ac:dyDescent="0.4">
      <c r="A86" s="84" t="str">
        <f>IF(TRIM(G86)&lt;&gt;"",COUNTA(G$11:$G86)&amp;"","")</f>
        <v/>
      </c>
      <c r="B86" s="1"/>
      <c r="C86" s="1"/>
      <c r="D86" s="20"/>
      <c r="E86" s="19"/>
      <c r="F86" s="179"/>
      <c r="G86" s="190"/>
      <c r="H86" s="85" t="s">
        <v>12</v>
      </c>
      <c r="I86" s="86"/>
      <c r="J86" s="87">
        <f>SUM(K$72:K$84)</f>
        <v>17205.48762</v>
      </c>
      <c r="K86" s="311" t="s">
        <v>13</v>
      </c>
      <c r="L86" s="312"/>
      <c r="M86" s="88">
        <f>SUM(O$72:O$84)</f>
        <v>18318.313938599997</v>
      </c>
      <c r="N86" s="311" t="s">
        <v>42</v>
      </c>
      <c r="O86" s="312"/>
      <c r="P86" s="89">
        <f>SUM(N$72:N$84)</f>
        <v>234.85017869999996</v>
      </c>
      <c r="Q86" s="191" t="s">
        <v>187</v>
      </c>
      <c r="R86" s="88">
        <f>SUM(Q$72:Q$84)</f>
        <v>35523.801558599996</v>
      </c>
      <c r="T86" s="285"/>
    </row>
    <row r="87" spans="1:20" ht="25" customHeight="1" thickBot="1" x14ac:dyDescent="0.4">
      <c r="A87" s="181" t="str">
        <f>IF(TRIM(G87)&lt;&gt;"",COUNTA(G$11:$G87)&amp;"","")</f>
        <v/>
      </c>
      <c r="B87" s="182"/>
      <c r="C87" s="183" t="s">
        <v>120</v>
      </c>
      <c r="D87" s="193" t="s">
        <v>116</v>
      </c>
      <c r="E87" s="193" t="s">
        <v>52</v>
      </c>
      <c r="F87" s="194"/>
      <c r="G87" s="184"/>
      <c r="H87" s="182"/>
      <c r="I87" s="184"/>
      <c r="J87" s="182"/>
      <c r="K87" s="182"/>
      <c r="L87" s="202">
        <v>78</v>
      </c>
      <c r="M87" s="182"/>
      <c r="N87" s="182"/>
      <c r="O87" s="182"/>
      <c r="P87" s="182"/>
      <c r="Q87" s="182"/>
      <c r="R87" s="185"/>
    </row>
    <row r="88" spans="1:20" s="18" customFormat="1" ht="19.25" customHeight="1" x14ac:dyDescent="0.35">
      <c r="A88" s="110" t="str">
        <f>IF(TRIM(G88)&lt;&gt;"",COUNTA(G$11:$G88)&amp;"","")</f>
        <v/>
      </c>
      <c r="B88" s="180"/>
      <c r="C88" s="180"/>
      <c r="D88" s="201" t="s">
        <v>73</v>
      </c>
      <c r="E88" s="203" t="s">
        <v>491</v>
      </c>
      <c r="F88" s="114"/>
      <c r="G88" s="115"/>
      <c r="H88" s="116" t="str">
        <f t="shared" ref="H88:H91" si="149">IF(F88=0,"",0)</f>
        <v/>
      </c>
      <c r="I88" s="117" t="str">
        <f t="shared" ref="I88:I91" si="150">IF(F88=0,"",F88+(F88*H88))</f>
        <v/>
      </c>
      <c r="J88" s="118" t="str">
        <f t="shared" ref="J88" si="151">IF(F88=0,"",0)</f>
        <v/>
      </c>
      <c r="K88" s="25" t="str">
        <f t="shared" ref="K88:K91" si="152">IF(F88=0,"",J88*I88)</f>
        <v/>
      </c>
      <c r="L88" s="25" t="str">
        <f>IF(F88=0,"",L$87)</f>
        <v/>
      </c>
      <c r="M88" s="119" t="str">
        <f t="shared" ref="M88" si="153">IF(F88=0,"",0)</f>
        <v/>
      </c>
      <c r="N88" s="119" t="str">
        <f t="shared" ref="N88:N91" si="154">IF(F88=0,"",M88*I88)</f>
        <v/>
      </c>
      <c r="O88" s="25" t="str">
        <f t="shared" ref="O88:O91" si="155">IF(F88=0,"",N88*L88)</f>
        <v/>
      </c>
      <c r="P88" s="120" t="str">
        <f t="shared" ref="P88" si="156">IF(F88=0,"",(K88+O88)/I88)</f>
        <v/>
      </c>
      <c r="Q88" s="25" t="str">
        <f t="shared" ref="Q88" si="157">IF(F88=0,"",(P88*I88))</f>
        <v/>
      </c>
      <c r="R88" s="192"/>
    </row>
    <row r="89" spans="1:20" x14ac:dyDescent="0.35">
      <c r="A89" s="71" t="str">
        <f>IF(TRIM(G89)&lt;&gt;"",COUNTA(G$11:$G89)&amp;"","")</f>
        <v>44</v>
      </c>
      <c r="B89" s="33" t="s">
        <v>628</v>
      </c>
      <c r="C89" s="33" t="s">
        <v>628</v>
      </c>
      <c r="D89" s="34"/>
      <c r="E89" s="69" t="s">
        <v>492</v>
      </c>
      <c r="F89" s="73">
        <v>1600.25</v>
      </c>
      <c r="G89" s="74" t="s">
        <v>141</v>
      </c>
      <c r="H89" s="22">
        <v>0.1</v>
      </c>
      <c r="I89" s="51">
        <f t="shared" si="150"/>
        <v>1760.2750000000001</v>
      </c>
      <c r="J89" s="23">
        <v>3.5</v>
      </c>
      <c r="K89" s="24">
        <f t="shared" si="152"/>
        <v>6160.9625000000005</v>
      </c>
      <c r="L89" s="25">
        <f t="shared" ref="L89:L91" si="158">IF(F89=0,"",L$87)</f>
        <v>78</v>
      </c>
      <c r="M89" s="26">
        <v>0.04</v>
      </c>
      <c r="N89" s="26">
        <f t="shared" si="154"/>
        <v>70.411000000000001</v>
      </c>
      <c r="O89" s="24">
        <f t="shared" si="155"/>
        <v>5492.058</v>
      </c>
      <c r="P89" s="27">
        <f t="shared" ref="P89:P91" si="159">IF(F89=0,"",(K89+O89)/I89)</f>
        <v>6.62</v>
      </c>
      <c r="Q89" s="24">
        <f t="shared" ref="Q89:Q91" si="160">IF(F89=0,"",(P89*I89))</f>
        <v>11653.020500000001</v>
      </c>
      <c r="R89" s="123"/>
    </row>
    <row r="90" spans="1:20" x14ac:dyDescent="0.35">
      <c r="A90" s="71" t="str">
        <f>IF(TRIM(G90)&lt;&gt;"",COUNTA(G$11:$G90)&amp;"","")</f>
        <v/>
      </c>
      <c r="B90" s="72"/>
      <c r="C90" s="72"/>
      <c r="D90" s="34"/>
      <c r="E90" s="69"/>
      <c r="F90" s="73"/>
      <c r="G90" s="74"/>
      <c r="H90" s="22" t="str">
        <f t="shared" si="149"/>
        <v/>
      </c>
      <c r="I90" s="51" t="str">
        <f t="shared" si="150"/>
        <v/>
      </c>
      <c r="J90" s="23"/>
      <c r="K90" s="24" t="str">
        <f t="shared" si="152"/>
        <v/>
      </c>
      <c r="L90" s="25" t="str">
        <f t="shared" si="158"/>
        <v/>
      </c>
      <c r="M90" s="26"/>
      <c r="N90" s="26" t="str">
        <f t="shared" si="154"/>
        <v/>
      </c>
      <c r="O90" s="24" t="str">
        <f t="shared" si="155"/>
        <v/>
      </c>
      <c r="P90" s="27" t="str">
        <f t="shared" si="159"/>
        <v/>
      </c>
      <c r="Q90" s="24" t="str">
        <f t="shared" si="160"/>
        <v/>
      </c>
      <c r="R90" s="123"/>
    </row>
    <row r="91" spans="1:20" s="18" customFormat="1" ht="19.25" customHeight="1" x14ac:dyDescent="0.35">
      <c r="A91" s="71" t="str">
        <f>IF(TRIM(G91)&lt;&gt;"",COUNTA(G$11:$G91)&amp;"","")</f>
        <v/>
      </c>
      <c r="B91" s="33"/>
      <c r="C91" s="33"/>
      <c r="D91" s="207" t="s">
        <v>75</v>
      </c>
      <c r="E91" s="205" t="s">
        <v>74</v>
      </c>
      <c r="F91" s="73"/>
      <c r="G91" s="74"/>
      <c r="H91" s="22" t="str">
        <f t="shared" si="149"/>
        <v/>
      </c>
      <c r="I91" s="51" t="str">
        <f t="shared" si="150"/>
        <v/>
      </c>
      <c r="J91" s="23"/>
      <c r="K91" s="24" t="str">
        <f t="shared" si="152"/>
        <v/>
      </c>
      <c r="L91" s="25" t="str">
        <f t="shared" si="158"/>
        <v/>
      </c>
      <c r="M91" s="26"/>
      <c r="N91" s="26" t="str">
        <f t="shared" si="154"/>
        <v/>
      </c>
      <c r="O91" s="24" t="str">
        <f t="shared" si="155"/>
        <v/>
      </c>
      <c r="P91" s="27" t="str">
        <f t="shared" si="159"/>
        <v/>
      </c>
      <c r="Q91" s="24" t="str">
        <f t="shared" si="160"/>
        <v/>
      </c>
      <c r="R91" s="125"/>
    </row>
    <row r="92" spans="1:20" ht="29" x14ac:dyDescent="0.35">
      <c r="A92" s="71" t="str">
        <f>IF(TRIM(G92)&lt;&gt;"",COUNTA(G$11:$G92)&amp;"","")</f>
        <v>45</v>
      </c>
      <c r="B92" s="33" t="s">
        <v>628</v>
      </c>
      <c r="C92" s="33" t="s">
        <v>628</v>
      </c>
      <c r="D92" s="34"/>
      <c r="E92" s="56" t="s">
        <v>493</v>
      </c>
      <c r="F92" s="73">
        <f>F89</f>
        <v>1600.25</v>
      </c>
      <c r="G92" s="74" t="s">
        <v>141</v>
      </c>
      <c r="H92" s="22">
        <v>0.1</v>
      </c>
      <c r="I92" s="51">
        <f t="shared" ref="I92" si="161">IF(F92=0,"",F92+(F92*H92))</f>
        <v>1760.2750000000001</v>
      </c>
      <c r="J92" s="23">
        <v>0.3</v>
      </c>
      <c r="K92" s="24">
        <f t="shared" ref="K92" si="162">IF(F92=0,"",J92*I92)</f>
        <v>528.08249999999998</v>
      </c>
      <c r="L92" s="25">
        <f t="shared" ref="L92" si="163">IF(F92=0,"",L$87)</f>
        <v>78</v>
      </c>
      <c r="M92" s="26">
        <v>3.0000000000000001E-3</v>
      </c>
      <c r="N92" s="26">
        <f t="shared" ref="N92" si="164">IF(F92=0,"",M92*I92)</f>
        <v>5.2808250000000001</v>
      </c>
      <c r="O92" s="24">
        <f t="shared" ref="O92" si="165">IF(F92=0,"",N92*L92)</f>
        <v>411.90435000000002</v>
      </c>
      <c r="P92" s="27">
        <f t="shared" ref="P92" si="166">IF(F92=0,"",(K92+O92)/I92)</f>
        <v>0.53400000000000003</v>
      </c>
      <c r="Q92" s="24">
        <f t="shared" ref="Q92" si="167">IF(F92=0,"",(P92*I92))</f>
        <v>939.98685000000012</v>
      </c>
      <c r="R92" s="24"/>
    </row>
    <row r="93" spans="1:20" x14ac:dyDescent="0.35">
      <c r="A93" s="71" t="str">
        <f>IF(TRIM(G93)&lt;&gt;"",COUNTA(G$11:$G93)&amp;"","")</f>
        <v/>
      </c>
      <c r="B93" s="72"/>
      <c r="C93" s="72"/>
      <c r="D93" s="34"/>
      <c r="E93" s="56"/>
      <c r="F93" s="73"/>
      <c r="G93" s="74"/>
      <c r="H93" s="22" t="str">
        <f t="shared" ref="H93:H114" si="168">IF(F93=0,"",0)</f>
        <v/>
      </c>
      <c r="I93" s="51" t="str">
        <f t="shared" ref="I93:I114" si="169">IF(F93=0,"",F93+(F93*H93))</f>
        <v/>
      </c>
      <c r="J93" s="23"/>
      <c r="K93" s="24" t="str">
        <f t="shared" ref="K93:K114" si="170">IF(F93=0,"",J93*I93)</f>
        <v/>
      </c>
      <c r="L93" s="25" t="str">
        <f>IF(F93=0,"",L$87)</f>
        <v/>
      </c>
      <c r="M93" s="26"/>
      <c r="N93" s="26" t="str">
        <f t="shared" ref="N93:N114" si="171">IF(F93=0,"",M93*I93)</f>
        <v/>
      </c>
      <c r="O93" s="24" t="str">
        <f t="shared" ref="O93:O114" si="172">IF(F93=0,"",N93*L93)</f>
        <v/>
      </c>
      <c r="P93" s="27" t="str">
        <f t="shared" ref="P93:P114" si="173">IF(F93=0,"",(K93+O93)/I93)</f>
        <v/>
      </c>
      <c r="Q93" s="24" t="str">
        <f t="shared" ref="Q93:Q114" si="174">IF(F93=0,"",(P93*I93))</f>
        <v/>
      </c>
      <c r="R93" s="123"/>
    </row>
    <row r="94" spans="1:20" s="18" customFormat="1" ht="19.25" customHeight="1" x14ac:dyDescent="0.35">
      <c r="A94" s="71" t="str">
        <f>IF(TRIM(G94)&lt;&gt;"",COUNTA(G$11:$G94)&amp;"","")</f>
        <v/>
      </c>
      <c r="B94" s="33"/>
      <c r="C94" s="33"/>
      <c r="D94" s="207" t="s">
        <v>77</v>
      </c>
      <c r="E94" s="205" t="s">
        <v>76</v>
      </c>
      <c r="F94" s="73"/>
      <c r="G94" s="74"/>
      <c r="H94" s="22" t="str">
        <f t="shared" si="168"/>
        <v/>
      </c>
      <c r="I94" s="51" t="str">
        <f t="shared" si="169"/>
        <v/>
      </c>
      <c r="J94" s="23"/>
      <c r="K94" s="24" t="str">
        <f t="shared" si="170"/>
        <v/>
      </c>
      <c r="L94" s="25" t="str">
        <f>IF(F94=0,"",L$87)</f>
        <v/>
      </c>
      <c r="M94" s="26"/>
      <c r="N94" s="26" t="str">
        <f t="shared" si="171"/>
        <v/>
      </c>
      <c r="O94" s="24" t="str">
        <f t="shared" si="172"/>
        <v/>
      </c>
      <c r="P94" s="27" t="str">
        <f t="shared" si="173"/>
        <v/>
      </c>
      <c r="Q94" s="24" t="str">
        <f t="shared" si="174"/>
        <v/>
      </c>
      <c r="R94" s="125"/>
    </row>
    <row r="95" spans="1:20" x14ac:dyDescent="0.35">
      <c r="A95" s="71" t="str">
        <f>IF(TRIM(G95)&lt;&gt;"",COUNTA(G$11:$G95)&amp;"","")</f>
        <v>46</v>
      </c>
      <c r="B95" s="303" t="s">
        <v>628</v>
      </c>
      <c r="C95" s="303" t="s">
        <v>628</v>
      </c>
      <c r="D95" s="34"/>
      <c r="E95" s="56" t="s">
        <v>229</v>
      </c>
      <c r="F95" s="73">
        <f>493+4487.42</f>
        <v>4980.42</v>
      </c>
      <c r="G95" s="74" t="s">
        <v>141</v>
      </c>
      <c r="H95" s="22">
        <v>0.1</v>
      </c>
      <c r="I95" s="51">
        <f t="shared" si="169"/>
        <v>5478.4620000000004</v>
      </c>
      <c r="J95" s="23">
        <v>3.03</v>
      </c>
      <c r="K95" s="24">
        <f t="shared" si="170"/>
        <v>16599.739860000001</v>
      </c>
      <c r="L95" s="25">
        <f>IF(F95=0,"",L$87)</f>
        <v>78</v>
      </c>
      <c r="M95" s="26">
        <v>0.04</v>
      </c>
      <c r="N95" s="26">
        <f t="shared" si="171"/>
        <v>219.13848000000002</v>
      </c>
      <c r="O95" s="24">
        <f t="shared" si="172"/>
        <v>17092.801440000003</v>
      </c>
      <c r="P95" s="27">
        <f t="shared" si="173"/>
        <v>6.15</v>
      </c>
      <c r="Q95" s="24">
        <f t="shared" si="174"/>
        <v>33692.541300000004</v>
      </c>
      <c r="R95" s="123"/>
    </row>
    <row r="96" spans="1:20" x14ac:dyDescent="0.35">
      <c r="A96" s="71" t="str">
        <f>IF(TRIM(G96)&lt;&gt;"",COUNTA(G$11:$G96)&amp;"","")</f>
        <v>47</v>
      </c>
      <c r="B96" s="305"/>
      <c r="C96" s="305"/>
      <c r="D96" s="34"/>
      <c r="E96" s="56" t="s">
        <v>230</v>
      </c>
      <c r="F96" s="73">
        <v>2171.12</v>
      </c>
      <c r="G96" s="74" t="s">
        <v>141</v>
      </c>
      <c r="H96" s="22">
        <v>0.1</v>
      </c>
      <c r="I96" s="51">
        <f t="shared" si="169"/>
        <v>2388.232</v>
      </c>
      <c r="J96" s="23">
        <v>3.03</v>
      </c>
      <c r="K96" s="24">
        <f t="shared" si="170"/>
        <v>7236.342959999999</v>
      </c>
      <c r="L96" s="25">
        <f>IF(F96=0,"",L$87)</f>
        <v>78</v>
      </c>
      <c r="M96" s="26">
        <v>0.04</v>
      </c>
      <c r="N96" s="26">
        <f t="shared" si="171"/>
        <v>95.52928</v>
      </c>
      <c r="O96" s="24">
        <f t="shared" si="172"/>
        <v>7451.2838400000001</v>
      </c>
      <c r="P96" s="27">
        <f t="shared" si="173"/>
        <v>6.1499999999999995</v>
      </c>
      <c r="Q96" s="24">
        <f t="shared" si="174"/>
        <v>14687.626799999998</v>
      </c>
      <c r="R96" s="123"/>
    </row>
    <row r="97" spans="1:18" x14ac:dyDescent="0.35">
      <c r="A97" s="71" t="str">
        <f>IF(TRIM(G97)&lt;&gt;"",COUNTA(G$11:$G97)&amp;"","")</f>
        <v/>
      </c>
      <c r="B97" s="33"/>
      <c r="C97" s="33"/>
      <c r="D97" s="34"/>
      <c r="E97" s="56"/>
      <c r="F97" s="73"/>
      <c r="G97" s="74"/>
      <c r="H97" s="22"/>
      <c r="I97" s="51"/>
      <c r="J97" s="23"/>
      <c r="K97" s="24"/>
      <c r="L97" s="25"/>
      <c r="M97" s="26"/>
      <c r="N97" s="26"/>
      <c r="O97" s="24"/>
      <c r="P97" s="27"/>
      <c r="Q97" s="24"/>
      <c r="R97" s="123"/>
    </row>
    <row r="98" spans="1:18" s="18" customFormat="1" ht="19.25" customHeight="1" x14ac:dyDescent="0.35">
      <c r="A98" s="71" t="str">
        <f>IF(TRIM(G98)&lt;&gt;"",COUNTA(G$11:$G98)&amp;"","")</f>
        <v/>
      </c>
      <c r="B98" s="33"/>
      <c r="C98" s="33"/>
      <c r="D98" s="207" t="s">
        <v>78</v>
      </c>
      <c r="E98" s="205" t="s">
        <v>231</v>
      </c>
      <c r="F98" s="73"/>
      <c r="G98" s="74"/>
      <c r="H98" s="22" t="str">
        <f t="shared" si="168"/>
        <v/>
      </c>
      <c r="I98" s="51" t="str">
        <f t="shared" si="169"/>
        <v/>
      </c>
      <c r="J98" s="23"/>
      <c r="K98" s="24" t="str">
        <f t="shared" si="170"/>
        <v/>
      </c>
      <c r="L98" s="25" t="str">
        <f>IF(F98=0,"",L$87)</f>
        <v/>
      </c>
      <c r="M98" s="26"/>
      <c r="N98" s="26" t="str">
        <f t="shared" si="171"/>
        <v/>
      </c>
      <c r="O98" s="24" t="str">
        <f t="shared" si="172"/>
        <v/>
      </c>
      <c r="P98" s="27" t="str">
        <f t="shared" si="173"/>
        <v/>
      </c>
      <c r="Q98" s="24" t="str">
        <f t="shared" si="174"/>
        <v/>
      </c>
      <c r="R98" s="125"/>
    </row>
    <row r="99" spans="1:18" x14ac:dyDescent="0.35">
      <c r="A99" s="71" t="str">
        <f>IF(TRIM(G99)&lt;&gt;"",COUNTA(G$11:$G99)&amp;"","")</f>
        <v>48</v>
      </c>
      <c r="B99" s="306" t="s">
        <v>628</v>
      </c>
      <c r="C99" s="306" t="s">
        <v>628</v>
      </c>
      <c r="D99" s="34"/>
      <c r="E99" s="56" t="s">
        <v>232</v>
      </c>
      <c r="F99" s="73">
        <v>355.79</v>
      </c>
      <c r="G99" s="74" t="s">
        <v>154</v>
      </c>
      <c r="H99" s="22">
        <v>0.1</v>
      </c>
      <c r="I99" s="51">
        <f t="shared" si="169"/>
        <v>391.36900000000003</v>
      </c>
      <c r="J99" s="23">
        <v>3.25</v>
      </c>
      <c r="K99" s="24">
        <f t="shared" si="170"/>
        <v>1271.9492500000001</v>
      </c>
      <c r="L99" s="25">
        <f>IF(F99=0,"",L$87)</f>
        <v>78</v>
      </c>
      <c r="M99" s="26">
        <v>0.02</v>
      </c>
      <c r="N99" s="26">
        <f t="shared" si="171"/>
        <v>7.8273800000000007</v>
      </c>
      <c r="O99" s="24">
        <f t="shared" si="172"/>
        <v>610.53564000000006</v>
      </c>
      <c r="P99" s="27">
        <f t="shared" si="173"/>
        <v>4.8100000000000005</v>
      </c>
      <c r="Q99" s="24">
        <f t="shared" si="174"/>
        <v>1882.4848900000004</v>
      </c>
      <c r="R99" s="123"/>
    </row>
    <row r="100" spans="1:18" x14ac:dyDescent="0.35">
      <c r="A100" s="71" t="str">
        <f>IF(TRIM(G100)&lt;&gt;"",COUNTA(G$11:$G100)&amp;"","")</f>
        <v>49</v>
      </c>
      <c r="B100" s="307"/>
      <c r="C100" s="307"/>
      <c r="D100" s="34"/>
      <c r="E100" s="56" t="s">
        <v>233</v>
      </c>
      <c r="F100" s="73">
        <v>424.69</v>
      </c>
      <c r="G100" s="74" t="s">
        <v>154</v>
      </c>
      <c r="H100" s="22">
        <v>0.1</v>
      </c>
      <c r="I100" s="51">
        <f t="shared" ref="I100:I106" si="175">IF(F100=0,"",F100+(F100*H100))</f>
        <v>467.15899999999999</v>
      </c>
      <c r="J100" s="23">
        <v>4.5</v>
      </c>
      <c r="K100" s="24">
        <f t="shared" ref="K100:K106" si="176">IF(F100=0,"",J100*I100)</f>
        <v>2102.2154999999998</v>
      </c>
      <c r="L100" s="25">
        <f t="shared" ref="L100:L106" si="177">IF(F100=0,"",L$87)</f>
        <v>78</v>
      </c>
      <c r="M100" s="26">
        <v>2.4E-2</v>
      </c>
      <c r="N100" s="26">
        <f t="shared" ref="N100:N106" si="178">IF(F100=0,"",M100*I100)</f>
        <v>11.211816000000001</v>
      </c>
      <c r="O100" s="24">
        <f t="shared" ref="O100:O106" si="179">IF(F100=0,"",N100*L100)</f>
        <v>874.52164800000003</v>
      </c>
      <c r="P100" s="27">
        <f t="shared" ref="P100:P106" si="180">IF(F100=0,"",(K100+O100)/I100)</f>
        <v>6.3719999999999999</v>
      </c>
      <c r="Q100" s="24">
        <f t="shared" ref="Q100:Q106" si="181">IF(F100=0,"",(P100*I100))</f>
        <v>2976.7371479999997</v>
      </c>
      <c r="R100" s="123"/>
    </row>
    <row r="101" spans="1:18" x14ac:dyDescent="0.35">
      <c r="A101" s="71" t="str">
        <f>IF(TRIM(G101)&lt;&gt;"",COUNTA(G$11:$G101)&amp;"","")</f>
        <v>50</v>
      </c>
      <c r="B101" s="307"/>
      <c r="C101" s="307"/>
      <c r="D101" s="34"/>
      <c r="E101" s="56" t="s">
        <v>234</v>
      </c>
      <c r="F101" s="73">
        <v>402.85</v>
      </c>
      <c r="G101" s="74" t="s">
        <v>154</v>
      </c>
      <c r="H101" s="22">
        <v>0.1</v>
      </c>
      <c r="I101" s="51">
        <f t="shared" si="175"/>
        <v>443.13500000000005</v>
      </c>
      <c r="J101" s="23">
        <v>5.25</v>
      </c>
      <c r="K101" s="24">
        <f t="shared" si="176"/>
        <v>2326.4587500000002</v>
      </c>
      <c r="L101" s="25">
        <f t="shared" si="177"/>
        <v>78</v>
      </c>
      <c r="M101" s="26">
        <v>2.1999999999999999E-2</v>
      </c>
      <c r="N101" s="26">
        <f t="shared" si="178"/>
        <v>9.7489699999999999</v>
      </c>
      <c r="O101" s="24">
        <f t="shared" si="179"/>
        <v>760.41966000000002</v>
      </c>
      <c r="P101" s="27">
        <f t="shared" si="180"/>
        <v>6.9660000000000002</v>
      </c>
      <c r="Q101" s="24">
        <f t="shared" si="181"/>
        <v>3086.8784100000003</v>
      </c>
      <c r="R101" s="123"/>
    </row>
    <row r="102" spans="1:18" x14ac:dyDescent="0.35">
      <c r="A102" s="52" t="str">
        <f>IF(TRIM(G102)&lt;&gt;"",COUNTA(G$11:$G102)&amp;"","")</f>
        <v/>
      </c>
      <c r="B102" s="307"/>
      <c r="C102" s="307"/>
      <c r="J102" s="23"/>
    </row>
    <row r="103" spans="1:18" x14ac:dyDescent="0.35">
      <c r="A103" s="71" t="str">
        <f>IF(TRIM(G103)&lt;&gt;"",COUNTA(G$11:$G103)&amp;"","")</f>
        <v>51</v>
      </c>
      <c r="B103" s="307"/>
      <c r="C103" s="307"/>
      <c r="D103" s="34"/>
      <c r="E103" s="56" t="s">
        <v>235</v>
      </c>
      <c r="F103" s="73">
        <v>686.21</v>
      </c>
      <c r="G103" s="74" t="s">
        <v>154</v>
      </c>
      <c r="H103" s="22">
        <v>0.1</v>
      </c>
      <c r="I103" s="51">
        <f t="shared" si="175"/>
        <v>754.83100000000002</v>
      </c>
      <c r="J103" s="23">
        <v>2.75</v>
      </c>
      <c r="K103" s="24">
        <f t="shared" si="176"/>
        <v>2075.7852499999999</v>
      </c>
      <c r="L103" s="25">
        <f t="shared" si="177"/>
        <v>78</v>
      </c>
      <c r="M103" s="26">
        <v>0.02</v>
      </c>
      <c r="N103" s="26">
        <f t="shared" si="178"/>
        <v>15.096620000000001</v>
      </c>
      <c r="O103" s="24">
        <f t="shared" si="179"/>
        <v>1177.5363600000001</v>
      </c>
      <c r="P103" s="27">
        <f t="shared" si="180"/>
        <v>4.3099999999999996</v>
      </c>
      <c r="Q103" s="24">
        <f t="shared" si="181"/>
        <v>3253.32161</v>
      </c>
      <c r="R103" s="123"/>
    </row>
    <row r="104" spans="1:18" x14ac:dyDescent="0.35">
      <c r="A104" s="71" t="str">
        <f>IF(TRIM(G104)&lt;&gt;"",COUNTA(G$11:$G104)&amp;"","")</f>
        <v>52</v>
      </c>
      <c r="B104" s="307"/>
      <c r="C104" s="307"/>
      <c r="D104" s="34"/>
      <c r="E104" s="56" t="s">
        <v>236</v>
      </c>
      <c r="F104" s="73">
        <v>305.85000000000002</v>
      </c>
      <c r="G104" s="74" t="s">
        <v>154</v>
      </c>
      <c r="H104" s="22">
        <v>0.1</v>
      </c>
      <c r="I104" s="51">
        <f t="shared" si="175"/>
        <v>336.435</v>
      </c>
      <c r="J104" s="23">
        <v>2.25</v>
      </c>
      <c r="K104" s="24">
        <f t="shared" si="176"/>
        <v>756.97874999999999</v>
      </c>
      <c r="L104" s="25">
        <f t="shared" si="177"/>
        <v>78</v>
      </c>
      <c r="M104" s="26">
        <v>0.03</v>
      </c>
      <c r="N104" s="26">
        <f t="shared" si="178"/>
        <v>10.09305</v>
      </c>
      <c r="O104" s="24">
        <f t="shared" si="179"/>
        <v>787.25789999999995</v>
      </c>
      <c r="P104" s="27">
        <f t="shared" si="180"/>
        <v>4.59</v>
      </c>
      <c r="Q104" s="24">
        <f t="shared" si="181"/>
        <v>1544.2366500000001</v>
      </c>
      <c r="R104" s="123"/>
    </row>
    <row r="105" spans="1:18" x14ac:dyDescent="0.35">
      <c r="A105" s="71" t="str">
        <f>IF(TRIM(G105)&lt;&gt;"",COUNTA(G$11:$G105)&amp;"","")</f>
        <v>53</v>
      </c>
      <c r="B105" s="307"/>
      <c r="C105" s="307"/>
      <c r="D105" s="34"/>
      <c r="E105" s="56" t="s">
        <v>237</v>
      </c>
      <c r="F105" s="73">
        <v>104.62</v>
      </c>
      <c r="G105" s="74" t="s">
        <v>154</v>
      </c>
      <c r="H105" s="22">
        <v>0.1</v>
      </c>
      <c r="I105" s="51">
        <f t="shared" si="175"/>
        <v>115.08200000000001</v>
      </c>
      <c r="J105" s="23">
        <v>1.75</v>
      </c>
      <c r="K105" s="24">
        <f t="shared" si="176"/>
        <v>201.39350000000002</v>
      </c>
      <c r="L105" s="25">
        <f t="shared" si="177"/>
        <v>78</v>
      </c>
      <c r="M105" s="26">
        <v>0.03</v>
      </c>
      <c r="N105" s="26">
        <f t="shared" si="178"/>
        <v>3.4524600000000003</v>
      </c>
      <c r="O105" s="24">
        <f t="shared" si="179"/>
        <v>269.29188000000005</v>
      </c>
      <c r="P105" s="27">
        <f t="shared" si="180"/>
        <v>4.09</v>
      </c>
      <c r="Q105" s="24">
        <f t="shared" si="181"/>
        <v>470.68538000000001</v>
      </c>
      <c r="R105" s="123"/>
    </row>
    <row r="106" spans="1:18" x14ac:dyDescent="0.35">
      <c r="A106" s="71" t="str">
        <f>IF(TRIM(G106)&lt;&gt;"",COUNTA(G$11:$G106)&amp;"","")</f>
        <v>54</v>
      </c>
      <c r="B106" s="308"/>
      <c r="C106" s="308"/>
      <c r="D106" s="34"/>
      <c r="E106" s="56" t="s">
        <v>238</v>
      </c>
      <c r="F106" s="73">
        <v>385.97</v>
      </c>
      <c r="G106" s="74" t="s">
        <v>154</v>
      </c>
      <c r="H106" s="22">
        <v>0.1</v>
      </c>
      <c r="I106" s="51">
        <f t="shared" si="175"/>
        <v>424.56700000000001</v>
      </c>
      <c r="J106" s="23">
        <v>3</v>
      </c>
      <c r="K106" s="24">
        <f t="shared" si="176"/>
        <v>1273.701</v>
      </c>
      <c r="L106" s="25">
        <f t="shared" si="177"/>
        <v>78</v>
      </c>
      <c r="M106" s="26">
        <v>0.04</v>
      </c>
      <c r="N106" s="26">
        <f t="shared" si="178"/>
        <v>16.982680000000002</v>
      </c>
      <c r="O106" s="24">
        <f t="shared" si="179"/>
        <v>1324.6490400000002</v>
      </c>
      <c r="P106" s="27">
        <f t="shared" si="180"/>
        <v>6.12</v>
      </c>
      <c r="Q106" s="24">
        <f t="shared" si="181"/>
        <v>2598.3500400000003</v>
      </c>
      <c r="R106" s="123"/>
    </row>
    <row r="107" spans="1:18" x14ac:dyDescent="0.35">
      <c r="A107" s="71" t="str">
        <f>IF(TRIM(G107)&lt;&gt;"",COUNTA(G$11:$G107)&amp;"","")</f>
        <v/>
      </c>
      <c r="B107" s="72"/>
      <c r="C107" s="72"/>
      <c r="D107" s="34"/>
      <c r="E107" s="56"/>
      <c r="F107" s="73"/>
      <c r="G107" s="74"/>
      <c r="H107" s="22"/>
      <c r="I107" s="51"/>
      <c r="J107" s="23"/>
      <c r="K107" s="24"/>
      <c r="L107" s="25"/>
      <c r="M107" s="26"/>
      <c r="N107" s="26"/>
      <c r="O107" s="24"/>
      <c r="P107" s="27"/>
      <c r="Q107" s="24"/>
      <c r="R107" s="123"/>
    </row>
    <row r="108" spans="1:18" s="18" customFormat="1" ht="19.25" customHeight="1" x14ac:dyDescent="0.35">
      <c r="A108" s="71" t="str">
        <f>IF(TRIM(G108)&lt;&gt;"",COUNTA(G$11:$G108)&amp;"","")</f>
        <v/>
      </c>
      <c r="B108" s="33"/>
      <c r="C108" s="33"/>
      <c r="D108" s="207" t="s">
        <v>179</v>
      </c>
      <c r="E108" s="205" t="s">
        <v>79</v>
      </c>
      <c r="F108" s="73"/>
      <c r="G108" s="74"/>
      <c r="H108" s="22" t="str">
        <f t="shared" si="168"/>
        <v/>
      </c>
      <c r="I108" s="51" t="str">
        <f t="shared" si="169"/>
        <v/>
      </c>
      <c r="J108" s="23"/>
      <c r="K108" s="24" t="str">
        <f t="shared" si="170"/>
        <v/>
      </c>
      <c r="L108" s="25" t="str">
        <f>IF(F108=0,"",L$87)</f>
        <v/>
      </c>
      <c r="M108" s="26"/>
      <c r="N108" s="26" t="str">
        <f t="shared" si="171"/>
        <v/>
      </c>
      <c r="O108" s="24" t="str">
        <f t="shared" si="172"/>
        <v/>
      </c>
      <c r="P108" s="27" t="str">
        <f t="shared" si="173"/>
        <v/>
      </c>
      <c r="Q108" s="24" t="str">
        <f t="shared" si="174"/>
        <v/>
      </c>
      <c r="R108" s="125"/>
    </row>
    <row r="109" spans="1:18" x14ac:dyDescent="0.35">
      <c r="A109" s="71" t="str">
        <f>IF(TRIM(G109)&lt;&gt;"",COUNTA(G$11:$G109)&amp;"","")</f>
        <v>55</v>
      </c>
      <c r="B109" s="303" t="s">
        <v>628</v>
      </c>
      <c r="C109" s="303" t="s">
        <v>628</v>
      </c>
      <c r="D109" s="34"/>
      <c r="E109" s="56" t="s">
        <v>494</v>
      </c>
      <c r="F109" s="73">
        <f>203.19*3</f>
        <v>609.56999999999994</v>
      </c>
      <c r="G109" s="74" t="s">
        <v>141</v>
      </c>
      <c r="H109" s="22">
        <v>0.1</v>
      </c>
      <c r="I109" s="51">
        <f t="shared" ref="I109:I111" si="182">IF(F109=0,"",F109+(F109*H109))</f>
        <v>670.52699999999993</v>
      </c>
      <c r="J109" s="23">
        <v>0.3</v>
      </c>
      <c r="K109" s="24">
        <f t="shared" ref="K109:K111" si="183">IF(F109=0,"",J109*I109)</f>
        <v>201.15809999999996</v>
      </c>
      <c r="L109" s="25">
        <f>IF(F109=0,"",L$87)</f>
        <v>78</v>
      </c>
      <c r="M109" s="26">
        <v>3.0000000000000001E-3</v>
      </c>
      <c r="N109" s="26">
        <f t="shared" ref="N109:N111" si="184">IF(F109=0,"",M109*I109)</f>
        <v>2.0115809999999996</v>
      </c>
      <c r="O109" s="24">
        <f t="shared" ref="O109:O111" si="185">IF(F109=0,"",N109*L109)</f>
        <v>156.90331799999996</v>
      </c>
      <c r="P109" s="27">
        <f t="shared" ref="P109:P111" si="186">IF(F109=0,"",(K109+O109)/I109)</f>
        <v>0.53399999999999992</v>
      </c>
      <c r="Q109" s="24">
        <f t="shared" ref="Q109:Q111" si="187">IF(F109=0,"",(P109*I109))</f>
        <v>358.06141799999989</v>
      </c>
      <c r="R109" s="123"/>
    </row>
    <row r="110" spans="1:18" x14ac:dyDescent="0.35">
      <c r="A110" s="71" t="str">
        <f>IF(TRIM(G110)&lt;&gt;"",COUNTA(G$11:$G110)&amp;"","")</f>
        <v>56</v>
      </c>
      <c r="B110" s="304"/>
      <c r="C110" s="304"/>
      <c r="D110" s="34"/>
      <c r="E110" s="56" t="s">
        <v>201</v>
      </c>
      <c r="F110" s="73">
        <v>203.19</v>
      </c>
      <c r="G110" s="74" t="s">
        <v>154</v>
      </c>
      <c r="H110" s="22">
        <v>0.1</v>
      </c>
      <c r="I110" s="51">
        <f t="shared" si="182"/>
        <v>223.50900000000001</v>
      </c>
      <c r="J110" s="23">
        <v>1.85</v>
      </c>
      <c r="K110" s="24">
        <f t="shared" si="183"/>
        <v>413.49165000000005</v>
      </c>
      <c r="L110" s="25">
        <f>IF(F110=0,"",L$87)</f>
        <v>78</v>
      </c>
      <c r="M110" s="26">
        <v>0.02</v>
      </c>
      <c r="N110" s="26">
        <f t="shared" si="184"/>
        <v>4.47018</v>
      </c>
      <c r="O110" s="24">
        <f t="shared" si="185"/>
        <v>348.67403999999999</v>
      </c>
      <c r="P110" s="27">
        <f t="shared" si="186"/>
        <v>3.41</v>
      </c>
      <c r="Q110" s="24">
        <f t="shared" si="187"/>
        <v>762.16569000000004</v>
      </c>
      <c r="R110" s="123"/>
    </row>
    <row r="111" spans="1:18" x14ac:dyDescent="0.35">
      <c r="A111" s="71" t="str">
        <f>IF(TRIM(G111)&lt;&gt;"",COUNTA(G$11:$G111)&amp;"","")</f>
        <v>57</v>
      </c>
      <c r="B111" s="304"/>
      <c r="C111" s="304"/>
      <c r="D111" s="34"/>
      <c r="E111" s="56" t="s">
        <v>495</v>
      </c>
      <c r="F111" s="73">
        <f>(40.5*8)</f>
        <v>324</v>
      </c>
      <c r="G111" s="74" t="s">
        <v>154</v>
      </c>
      <c r="H111" s="22">
        <v>0.1</v>
      </c>
      <c r="I111" s="51">
        <f t="shared" si="182"/>
        <v>356.4</v>
      </c>
      <c r="J111" s="23">
        <v>6.8</v>
      </c>
      <c r="K111" s="24">
        <f t="shared" si="183"/>
        <v>2423.52</v>
      </c>
      <c r="L111" s="25">
        <f>IF(F111=0,"",L$87)</f>
        <v>78</v>
      </c>
      <c r="M111" s="26">
        <v>6.5000000000000002E-2</v>
      </c>
      <c r="N111" s="26">
        <f t="shared" si="184"/>
        <v>23.166</v>
      </c>
      <c r="O111" s="24">
        <f t="shared" si="185"/>
        <v>1806.9480000000001</v>
      </c>
      <c r="P111" s="27">
        <f t="shared" si="186"/>
        <v>11.870000000000001</v>
      </c>
      <c r="Q111" s="24">
        <f t="shared" si="187"/>
        <v>4230.4679999999998</v>
      </c>
      <c r="R111" s="123"/>
    </row>
    <row r="112" spans="1:18" x14ac:dyDescent="0.35">
      <c r="A112" s="71" t="str">
        <f>IF(TRIM(G112)&lt;&gt;"",COUNTA(G$11:$G112)&amp;"","")</f>
        <v>58</v>
      </c>
      <c r="B112" s="304"/>
      <c r="C112" s="304"/>
      <c r="D112" s="34"/>
      <c r="E112" s="56" t="s">
        <v>496</v>
      </c>
      <c r="F112" s="73">
        <v>290</v>
      </c>
      <c r="G112" s="74" t="s">
        <v>154</v>
      </c>
      <c r="H112" s="22">
        <v>0.1</v>
      </c>
      <c r="I112" s="51">
        <f>IF(F112=0,"",F112+(F112*H112))</f>
        <v>319</v>
      </c>
      <c r="J112" s="23">
        <v>1.5</v>
      </c>
      <c r="K112" s="24">
        <f>IF(F112=0,"",J112*I112)</f>
        <v>478.5</v>
      </c>
      <c r="L112" s="25">
        <f>IF(F112=0,"",L$87)</f>
        <v>78</v>
      </c>
      <c r="M112" s="26">
        <v>0.03</v>
      </c>
      <c r="N112" s="26">
        <f>IF(F112=0,"",M112*I112)</f>
        <v>9.57</v>
      </c>
      <c r="O112" s="24">
        <f>IF(F112=0,"",N112*L112)</f>
        <v>746.46</v>
      </c>
      <c r="P112" s="27">
        <f>IF(F112=0,"",(K112+O112)/I112)</f>
        <v>3.8400000000000003</v>
      </c>
      <c r="Q112" s="24">
        <f>IF(F112=0,"",(P112*I112))</f>
        <v>1224.96</v>
      </c>
      <c r="R112" s="123"/>
    </row>
    <row r="113" spans="1:18" x14ac:dyDescent="0.35">
      <c r="A113" s="71" t="str">
        <f>IF(TRIM(G113)&lt;&gt;"",COUNTA(G$11:$G113)&amp;"","")</f>
        <v>59</v>
      </c>
      <c r="B113" s="305"/>
      <c r="C113" s="305"/>
      <c r="D113" s="34"/>
      <c r="E113" s="56" t="s">
        <v>497</v>
      </c>
      <c r="F113" s="73">
        <v>18</v>
      </c>
      <c r="G113" s="74" t="s">
        <v>154</v>
      </c>
      <c r="H113" s="22">
        <v>0.1</v>
      </c>
      <c r="I113" s="51">
        <f>IF(F113=0,"",F113+(F113*H113))</f>
        <v>19.8</v>
      </c>
      <c r="J113" s="23">
        <v>2.75</v>
      </c>
      <c r="K113" s="24">
        <f>IF(F113=0,"",J113*I113)</f>
        <v>54.45</v>
      </c>
      <c r="L113" s="25">
        <f t="shared" ref="L113" si="188">IF(F113=0,"",L$87)</f>
        <v>78</v>
      </c>
      <c r="M113" s="26">
        <v>0.04</v>
      </c>
      <c r="N113" s="26">
        <f>IF(F113=0,"",M113*I113)</f>
        <v>0.79200000000000004</v>
      </c>
      <c r="O113" s="24">
        <f>IF(F113=0,"",N113*L113)</f>
        <v>61.776000000000003</v>
      </c>
      <c r="P113" s="27">
        <f>IF(F113=0,"",(K113+O113)/I113)</f>
        <v>5.87</v>
      </c>
      <c r="Q113" s="24">
        <f>IF(F113=0,"",(P113*I113))</f>
        <v>116.22600000000001</v>
      </c>
      <c r="R113" s="123"/>
    </row>
    <row r="114" spans="1:18" ht="15" thickBot="1" x14ac:dyDescent="0.4">
      <c r="A114" s="71" t="str">
        <f>IF(TRIM(G114)&lt;&gt;"",COUNTA(G$11:$G114)&amp;"","")</f>
        <v/>
      </c>
      <c r="B114" s="75"/>
      <c r="C114" s="75"/>
      <c r="D114" s="34"/>
      <c r="E114" s="76"/>
      <c r="F114" s="73"/>
      <c r="G114" s="74"/>
      <c r="H114" s="22" t="str">
        <f t="shared" si="168"/>
        <v/>
      </c>
      <c r="I114" s="51" t="str">
        <f t="shared" si="169"/>
        <v/>
      </c>
      <c r="J114" s="23" t="str">
        <f t="shared" ref="J114" si="189">IF(F114=0,"",0)</f>
        <v/>
      </c>
      <c r="K114" s="24" t="str">
        <f t="shared" si="170"/>
        <v/>
      </c>
      <c r="L114" s="25" t="str">
        <f>IF(F114=0,"",L$87)</f>
        <v/>
      </c>
      <c r="M114" s="26" t="str">
        <f t="shared" ref="M114" si="190">IF(F114=0,"",0)</f>
        <v/>
      </c>
      <c r="N114" s="26" t="str">
        <f t="shared" si="171"/>
        <v/>
      </c>
      <c r="O114" s="24" t="str">
        <f t="shared" si="172"/>
        <v/>
      </c>
      <c r="P114" s="27" t="str">
        <f t="shared" si="173"/>
        <v/>
      </c>
      <c r="Q114" s="24" t="str">
        <f t="shared" si="174"/>
        <v/>
      </c>
      <c r="R114" s="123"/>
    </row>
    <row r="115" spans="1:18" s="2" customFormat="1" ht="16" thickBot="1" x14ac:dyDescent="0.4">
      <c r="A115" s="84" t="str">
        <f>IF(TRIM(G115)&lt;&gt;"",COUNTA(G$11:$G115)&amp;"","")</f>
        <v/>
      </c>
      <c r="B115" s="1"/>
      <c r="C115" s="1"/>
      <c r="D115" s="20"/>
      <c r="E115" s="19"/>
      <c r="F115" s="179"/>
      <c r="G115" s="190"/>
      <c r="H115" s="85" t="s">
        <v>12</v>
      </c>
      <c r="I115" s="86"/>
      <c r="J115" s="87">
        <f>SUM(K$88:K$114)</f>
        <v>44104.729569999996</v>
      </c>
      <c r="K115" s="311" t="s">
        <v>13</v>
      </c>
      <c r="L115" s="312"/>
      <c r="M115" s="88">
        <f>SUM(O$88:O$114)</f>
        <v>39373.021115999989</v>
      </c>
      <c r="N115" s="311" t="s">
        <v>42</v>
      </c>
      <c r="O115" s="312"/>
      <c r="P115" s="89">
        <f>SUM(N$88:N$114)</f>
        <v>504.78232199999997</v>
      </c>
      <c r="Q115" s="191" t="s">
        <v>187</v>
      </c>
      <c r="R115" s="88">
        <f>SUM(Q$88:Q$114)</f>
        <v>83477.750685999999</v>
      </c>
    </row>
    <row r="116" spans="1:18" ht="25" customHeight="1" thickBot="1" x14ac:dyDescent="0.4">
      <c r="A116" s="181" t="str">
        <f>IF(TRIM(G116)&lt;&gt;"",COUNTA(G$11:$G116)&amp;"","")</f>
        <v/>
      </c>
      <c r="B116" s="182"/>
      <c r="C116" s="183" t="s">
        <v>120</v>
      </c>
      <c r="D116" s="193" t="s">
        <v>46</v>
      </c>
      <c r="E116" s="193" t="s">
        <v>45</v>
      </c>
      <c r="F116" s="194"/>
      <c r="G116" s="184"/>
      <c r="H116" s="182"/>
      <c r="I116" s="184"/>
      <c r="J116" s="182"/>
      <c r="K116" s="182"/>
      <c r="L116" s="202">
        <v>80</v>
      </c>
      <c r="M116" s="182"/>
      <c r="N116" s="182"/>
      <c r="O116" s="182"/>
      <c r="P116" s="182"/>
      <c r="Q116" s="182"/>
      <c r="R116" s="185"/>
    </row>
    <row r="117" spans="1:18" s="18" customFormat="1" ht="19.25" customHeight="1" x14ac:dyDescent="0.35">
      <c r="A117" s="71" t="str">
        <f>IF(TRIM(G117)&lt;&gt;"",COUNTA(G$11:$G117)&amp;"","")</f>
        <v/>
      </c>
      <c r="B117" s="33"/>
      <c r="C117" s="33"/>
      <c r="D117" s="207" t="s">
        <v>81</v>
      </c>
      <c r="E117" s="205" t="s">
        <v>80</v>
      </c>
      <c r="F117" s="73"/>
      <c r="G117" s="74"/>
      <c r="H117" s="22" t="str">
        <f t="shared" ref="H117:H134" si="191">IF(F117=0,"",0)</f>
        <v/>
      </c>
      <c r="I117" s="51" t="str">
        <f t="shared" ref="I117:I134" si="192">IF(F117=0,"",F117+(F117*H117))</f>
        <v/>
      </c>
      <c r="J117" s="23" t="str">
        <f t="shared" ref="J117" si="193">IF(F117=0,"",0)</f>
        <v/>
      </c>
      <c r="K117" s="24" t="str">
        <f t="shared" ref="K117:K134" si="194">IF(F117=0,"",J117*I117)</f>
        <v/>
      </c>
      <c r="L117" s="25" t="str">
        <f t="shared" ref="L117:L134" si="195">IF(F117=0,"",L$116)</f>
        <v/>
      </c>
      <c r="M117" s="26" t="str">
        <f t="shared" ref="M117" si="196">IF(F117=0,"",0)</f>
        <v/>
      </c>
      <c r="N117" s="26" t="str">
        <f t="shared" ref="N117:N134" si="197">IF(F117=0,"",M117*I117)</f>
        <v/>
      </c>
      <c r="O117" s="24" t="str">
        <f t="shared" ref="O117:O134" si="198">IF(F117=0,"",N117*L117)</f>
        <v/>
      </c>
      <c r="P117" s="27" t="str">
        <f t="shared" ref="P117:P134" si="199">IF(F117=0,"",(K117+O117)/I117)</f>
        <v/>
      </c>
      <c r="Q117" s="24" t="str">
        <f t="shared" ref="Q117:Q134" si="200">IF(F117=0,"",(P117*I117))</f>
        <v/>
      </c>
      <c r="R117" s="125"/>
    </row>
    <row r="118" spans="1:18" ht="58" x14ac:dyDescent="0.35">
      <c r="A118" s="71" t="str">
        <f>IF(TRIM(G118)&lt;&gt;"",COUNTA(G$11:$G118)&amp;"","")</f>
        <v>60</v>
      </c>
      <c r="B118" s="303" t="s">
        <v>255</v>
      </c>
      <c r="C118" s="303" t="s">
        <v>255</v>
      </c>
      <c r="D118" s="34"/>
      <c r="E118" s="56" t="s">
        <v>245</v>
      </c>
      <c r="F118" s="73">
        <v>24</v>
      </c>
      <c r="G118" s="74" t="s">
        <v>192</v>
      </c>
      <c r="H118" s="22">
        <f t="shared" si="191"/>
        <v>0</v>
      </c>
      <c r="I118" s="51">
        <f t="shared" si="192"/>
        <v>24</v>
      </c>
      <c r="J118" s="23">
        <f>35*3*(6+8/12)</f>
        <v>700</v>
      </c>
      <c r="K118" s="24">
        <f t="shared" si="194"/>
        <v>16800</v>
      </c>
      <c r="L118" s="25">
        <f t="shared" si="195"/>
        <v>80</v>
      </c>
      <c r="M118" s="26">
        <f>0.212*3*(6+8/12)</f>
        <v>4.24</v>
      </c>
      <c r="N118" s="26">
        <f t="shared" si="197"/>
        <v>101.76</v>
      </c>
      <c r="O118" s="24">
        <f t="shared" si="198"/>
        <v>8140.8</v>
      </c>
      <c r="P118" s="27">
        <f t="shared" si="199"/>
        <v>1039.2</v>
      </c>
      <c r="Q118" s="24">
        <f t="shared" si="200"/>
        <v>24940.800000000003</v>
      </c>
      <c r="R118" s="123"/>
    </row>
    <row r="119" spans="1:18" ht="58" x14ac:dyDescent="0.35">
      <c r="A119" s="71" t="str">
        <f>IF(TRIM(G119)&lt;&gt;"",COUNTA(G$11:$G119)&amp;"","")</f>
        <v>61</v>
      </c>
      <c r="B119" s="304"/>
      <c r="C119" s="304"/>
      <c r="D119" s="34"/>
      <c r="E119" s="56" t="s">
        <v>246</v>
      </c>
      <c r="F119" s="73">
        <v>11</v>
      </c>
      <c r="G119" s="74" t="s">
        <v>192</v>
      </c>
      <c r="H119" s="22">
        <f t="shared" si="191"/>
        <v>0</v>
      </c>
      <c r="I119" s="51">
        <f t="shared" si="192"/>
        <v>11</v>
      </c>
      <c r="J119" s="23">
        <f>35*2.5*(6+8/12)</f>
        <v>583.33333333333337</v>
      </c>
      <c r="K119" s="24">
        <f t="shared" si="194"/>
        <v>6416.666666666667</v>
      </c>
      <c r="L119" s="25">
        <f t="shared" si="195"/>
        <v>80</v>
      </c>
      <c r="M119" s="26">
        <f>0.212*2.5*(6+8/12)</f>
        <v>3.5333333333333337</v>
      </c>
      <c r="N119" s="26">
        <f t="shared" si="197"/>
        <v>38.866666666666667</v>
      </c>
      <c r="O119" s="24">
        <f t="shared" si="198"/>
        <v>3109.3333333333335</v>
      </c>
      <c r="P119" s="27">
        <f t="shared" si="199"/>
        <v>866</v>
      </c>
      <c r="Q119" s="24">
        <f t="shared" si="200"/>
        <v>9526</v>
      </c>
      <c r="R119" s="123"/>
    </row>
    <row r="120" spans="1:18" ht="58" x14ac:dyDescent="0.35">
      <c r="A120" s="71" t="str">
        <f>IF(TRIM(G120)&lt;&gt;"",COUNTA(G$11:$G120)&amp;"","")</f>
        <v>62</v>
      </c>
      <c r="B120" s="304"/>
      <c r="C120" s="304"/>
      <c r="D120" s="34"/>
      <c r="E120" s="56" t="s">
        <v>247</v>
      </c>
      <c r="F120" s="73">
        <v>10</v>
      </c>
      <c r="G120" s="74" t="s">
        <v>192</v>
      </c>
      <c r="H120" s="22">
        <f t="shared" si="191"/>
        <v>0</v>
      </c>
      <c r="I120" s="51">
        <f t="shared" si="192"/>
        <v>10</v>
      </c>
      <c r="J120" s="23">
        <f>35*2*(6+8/12)</f>
        <v>466.66666666666669</v>
      </c>
      <c r="K120" s="24">
        <f t="shared" si="194"/>
        <v>4666.666666666667</v>
      </c>
      <c r="L120" s="25">
        <f t="shared" si="195"/>
        <v>80</v>
      </c>
      <c r="M120" s="26">
        <f>0.212*2*(6+8/12)</f>
        <v>2.8266666666666667</v>
      </c>
      <c r="N120" s="26">
        <f t="shared" si="197"/>
        <v>28.266666666666666</v>
      </c>
      <c r="O120" s="24">
        <f t="shared" si="198"/>
        <v>2261.333333333333</v>
      </c>
      <c r="P120" s="27">
        <f t="shared" si="199"/>
        <v>692.8</v>
      </c>
      <c r="Q120" s="24">
        <f t="shared" si="200"/>
        <v>6928</v>
      </c>
      <c r="R120" s="123"/>
    </row>
    <row r="121" spans="1:18" ht="58" x14ac:dyDescent="0.35">
      <c r="A121" s="71" t="str">
        <f>IF(TRIM(G121)&lt;&gt;"",COUNTA(G$11:$G121)&amp;"","")</f>
        <v>63</v>
      </c>
      <c r="B121" s="304"/>
      <c r="C121" s="304"/>
      <c r="D121" s="34"/>
      <c r="E121" s="56" t="s">
        <v>248</v>
      </c>
      <c r="F121" s="73">
        <v>20</v>
      </c>
      <c r="G121" s="74" t="s">
        <v>192</v>
      </c>
      <c r="H121" s="22">
        <f t="shared" ref="H121:H125" si="201">IF(F121=0,"",0)</f>
        <v>0</v>
      </c>
      <c r="I121" s="51">
        <f t="shared" ref="I121:I125" si="202">IF(F121=0,"",F121+(F121*H121))</f>
        <v>20</v>
      </c>
      <c r="J121" s="23">
        <f>35*(2+10/12)*(6+8/12)</f>
        <v>661.1111111111112</v>
      </c>
      <c r="K121" s="24">
        <f t="shared" ref="K121:K125" si="203">IF(F121=0,"",J121*I121)</f>
        <v>13222.222222222224</v>
      </c>
      <c r="L121" s="25">
        <f t="shared" ref="L121:L125" si="204">IF(F121=0,"",L$116)</f>
        <v>80</v>
      </c>
      <c r="M121" s="26">
        <f>0.212*(2+10/12)*(6+8/12)</f>
        <v>4.0044444444444451</v>
      </c>
      <c r="N121" s="26">
        <f t="shared" ref="N121:N125" si="205">IF(F121=0,"",M121*I121)</f>
        <v>80.088888888888903</v>
      </c>
      <c r="O121" s="24">
        <f t="shared" ref="O121:O125" si="206">IF(F121=0,"",N121*L121)</f>
        <v>6407.1111111111122</v>
      </c>
      <c r="P121" s="27">
        <f t="shared" ref="P121:P125" si="207">IF(F121=0,"",(K121+O121)/I121)</f>
        <v>981.46666666666681</v>
      </c>
      <c r="Q121" s="24">
        <f t="shared" ref="Q121:Q125" si="208">IF(F121=0,"",(P121*I121))</f>
        <v>19629.333333333336</v>
      </c>
      <c r="R121" s="123"/>
    </row>
    <row r="122" spans="1:18" ht="58" x14ac:dyDescent="0.35">
      <c r="A122" s="71" t="str">
        <f>IF(TRIM(G122)&lt;&gt;"",COUNTA(G$11:$G122)&amp;"","")</f>
        <v>64</v>
      </c>
      <c r="B122" s="304"/>
      <c r="C122" s="304"/>
      <c r="D122" s="34"/>
      <c r="E122" s="56" t="s">
        <v>249</v>
      </c>
      <c r="F122" s="73">
        <v>5</v>
      </c>
      <c r="G122" s="74" t="s">
        <v>192</v>
      </c>
      <c r="H122" s="22">
        <f t="shared" si="201"/>
        <v>0</v>
      </c>
      <c r="I122" s="51">
        <f t="shared" si="202"/>
        <v>5</v>
      </c>
      <c r="J122" s="23">
        <f>35*2.5*(6+8/12)</f>
        <v>583.33333333333337</v>
      </c>
      <c r="K122" s="24">
        <f t="shared" si="203"/>
        <v>2916.666666666667</v>
      </c>
      <c r="L122" s="25">
        <f t="shared" si="204"/>
        <v>80</v>
      </c>
      <c r="M122" s="26">
        <f>0.212*2.5*(6+8/12)</f>
        <v>3.5333333333333337</v>
      </c>
      <c r="N122" s="26">
        <f t="shared" si="205"/>
        <v>17.666666666666668</v>
      </c>
      <c r="O122" s="24">
        <f t="shared" si="206"/>
        <v>1413.3333333333335</v>
      </c>
      <c r="P122" s="27">
        <f t="shared" si="207"/>
        <v>866</v>
      </c>
      <c r="Q122" s="24">
        <f t="shared" si="208"/>
        <v>4330</v>
      </c>
      <c r="R122" s="123"/>
    </row>
    <row r="123" spans="1:18" ht="72.5" x14ac:dyDescent="0.35">
      <c r="A123" s="71" t="str">
        <f>IF(TRIM(G123)&lt;&gt;"",COUNTA(G$11:$G123)&amp;"","")</f>
        <v>65</v>
      </c>
      <c r="B123" s="304"/>
      <c r="C123" s="304"/>
      <c r="D123" s="34"/>
      <c r="E123" s="56" t="s">
        <v>649</v>
      </c>
      <c r="F123" s="73">
        <v>5</v>
      </c>
      <c r="G123" s="74" t="s">
        <v>192</v>
      </c>
      <c r="H123" s="22">
        <f t="shared" si="201"/>
        <v>0</v>
      </c>
      <c r="I123" s="51">
        <f t="shared" si="202"/>
        <v>5</v>
      </c>
      <c r="J123" s="23">
        <f>91.1*5*(6+8/12)</f>
        <v>3036.666666666667</v>
      </c>
      <c r="K123" s="24">
        <f t="shared" si="203"/>
        <v>15183.333333333336</v>
      </c>
      <c r="L123" s="25">
        <f t="shared" si="204"/>
        <v>80</v>
      </c>
      <c r="M123" s="26">
        <f>0.765*5*(6+8/12)</f>
        <v>25.500000000000004</v>
      </c>
      <c r="N123" s="26">
        <f t="shared" si="205"/>
        <v>127.50000000000001</v>
      </c>
      <c r="O123" s="24">
        <f t="shared" si="206"/>
        <v>10200.000000000002</v>
      </c>
      <c r="P123" s="27">
        <f t="shared" si="207"/>
        <v>5076.666666666667</v>
      </c>
      <c r="Q123" s="24">
        <f t="shared" si="208"/>
        <v>25383.333333333336</v>
      </c>
      <c r="R123" s="123"/>
    </row>
    <row r="124" spans="1:18" ht="72.5" x14ac:dyDescent="0.35">
      <c r="A124" s="71" t="str">
        <f>IF(TRIM(G124)&lt;&gt;"",COUNTA(G$11:$G124)&amp;"","")</f>
        <v>66</v>
      </c>
      <c r="B124" s="304"/>
      <c r="C124" s="304"/>
      <c r="D124" s="34"/>
      <c r="E124" s="56" t="s">
        <v>650</v>
      </c>
      <c r="F124" s="73">
        <v>8</v>
      </c>
      <c r="G124" s="74" t="s">
        <v>192</v>
      </c>
      <c r="H124" s="22">
        <f t="shared" si="201"/>
        <v>0</v>
      </c>
      <c r="I124" s="51">
        <f t="shared" si="202"/>
        <v>8</v>
      </c>
      <c r="J124" s="23">
        <f>91.1*4*(6+8/12)</f>
        <v>2429.3333333333335</v>
      </c>
      <c r="K124" s="24">
        <f t="shared" si="203"/>
        <v>19434.666666666668</v>
      </c>
      <c r="L124" s="25">
        <f t="shared" si="204"/>
        <v>80</v>
      </c>
      <c r="M124" s="26">
        <f>0.765*4*(6+8/12)</f>
        <v>20.400000000000002</v>
      </c>
      <c r="N124" s="26">
        <f t="shared" si="205"/>
        <v>163.20000000000002</v>
      </c>
      <c r="O124" s="24">
        <f t="shared" si="206"/>
        <v>13056.000000000002</v>
      </c>
      <c r="P124" s="27">
        <f t="shared" si="207"/>
        <v>4061.3333333333339</v>
      </c>
      <c r="Q124" s="24">
        <f t="shared" si="208"/>
        <v>32490.666666666672</v>
      </c>
      <c r="R124" s="123"/>
    </row>
    <row r="125" spans="1:18" ht="43.5" x14ac:dyDescent="0.35">
      <c r="A125" s="71" t="str">
        <f>IF(TRIM(G125)&lt;&gt;"",COUNTA(G$11:$G125)&amp;"","")</f>
        <v>67</v>
      </c>
      <c r="B125" s="304"/>
      <c r="C125" s="304"/>
      <c r="D125" s="34"/>
      <c r="E125" s="56" t="s">
        <v>250</v>
      </c>
      <c r="F125" s="73">
        <v>5</v>
      </c>
      <c r="G125" s="74" t="s">
        <v>192</v>
      </c>
      <c r="H125" s="22">
        <f t="shared" si="201"/>
        <v>0</v>
      </c>
      <c r="I125" s="51">
        <f t="shared" si="202"/>
        <v>5</v>
      </c>
      <c r="J125" s="23">
        <f>45.8*9*7.5</f>
        <v>3091.5</v>
      </c>
      <c r="K125" s="24">
        <f t="shared" si="203"/>
        <v>15457.5</v>
      </c>
      <c r="L125" s="25">
        <f t="shared" si="204"/>
        <v>80</v>
      </c>
      <c r="M125" s="26">
        <f>0.125*9*7.5</f>
        <v>8.4375</v>
      </c>
      <c r="N125" s="26">
        <f t="shared" si="205"/>
        <v>42.1875</v>
      </c>
      <c r="O125" s="24">
        <f t="shared" si="206"/>
        <v>3375</v>
      </c>
      <c r="P125" s="27">
        <f t="shared" si="207"/>
        <v>3766.5</v>
      </c>
      <c r="Q125" s="24">
        <f t="shared" si="208"/>
        <v>18832.5</v>
      </c>
      <c r="R125" s="123"/>
    </row>
    <row r="126" spans="1:18" x14ac:dyDescent="0.35">
      <c r="A126" s="71" t="str">
        <f>IF(TRIM(G126)&lt;&gt;"",COUNTA(G$11:$G126)&amp;"","")</f>
        <v/>
      </c>
      <c r="B126" s="304"/>
      <c r="C126" s="304"/>
      <c r="D126" s="34"/>
      <c r="E126" s="56"/>
      <c r="F126" s="73"/>
      <c r="G126" s="74"/>
      <c r="H126" s="22"/>
      <c r="I126" s="51"/>
      <c r="J126" s="23"/>
      <c r="K126" s="24"/>
      <c r="L126" s="25"/>
      <c r="M126" s="26"/>
      <c r="N126" s="26"/>
      <c r="O126" s="24"/>
      <c r="P126" s="27"/>
      <c r="Q126" s="24"/>
      <c r="R126" s="123"/>
    </row>
    <row r="127" spans="1:18" s="18" customFormat="1" ht="19.25" customHeight="1" x14ac:dyDescent="0.35">
      <c r="A127" s="71" t="str">
        <f>IF(TRIM(G127)&lt;&gt;"",COUNTA(G$11:$G127)&amp;"","")</f>
        <v/>
      </c>
      <c r="B127" s="304"/>
      <c r="C127" s="304"/>
      <c r="D127" s="207" t="s">
        <v>84</v>
      </c>
      <c r="E127" s="205" t="s">
        <v>83</v>
      </c>
      <c r="F127" s="73"/>
      <c r="G127" s="74"/>
      <c r="H127" s="22" t="str">
        <f t="shared" ref="H127:H128" si="209">IF(F127=0,"",0)</f>
        <v/>
      </c>
      <c r="I127" s="51" t="str">
        <f t="shared" ref="I127:I128" si="210">IF(F127=0,"",F127+(F127*H127))</f>
        <v/>
      </c>
      <c r="J127" s="23"/>
      <c r="K127" s="24" t="str">
        <f t="shared" ref="K127:K128" si="211">IF(F127=0,"",J127*I127)</f>
        <v/>
      </c>
      <c r="L127" s="25" t="str">
        <f t="shared" ref="L127:L128" si="212">IF(F127=0,"",L$116)</f>
        <v/>
      </c>
      <c r="M127" s="26"/>
      <c r="N127" s="26" t="str">
        <f t="shared" ref="N127:N128" si="213">IF(F127=0,"",M127*I127)</f>
        <v/>
      </c>
      <c r="O127" s="24" t="str">
        <f t="shared" ref="O127:O128" si="214">IF(F127=0,"",N127*L127)</f>
        <v/>
      </c>
      <c r="P127" s="27" t="str">
        <f t="shared" ref="P127:P128" si="215">IF(F127=0,"",(K127+O127)/I127)</f>
        <v/>
      </c>
      <c r="Q127" s="24" t="str">
        <f t="shared" ref="Q127:Q128" si="216">IF(F127=0,"",(P127*I127))</f>
        <v/>
      </c>
      <c r="R127" s="125"/>
    </row>
    <row r="128" spans="1:18" x14ac:dyDescent="0.35">
      <c r="A128" s="71" t="str">
        <f>IF(TRIM(G128)&lt;&gt;"",COUNTA(G$11:$G128)&amp;"","")</f>
        <v>68</v>
      </c>
      <c r="B128" s="304"/>
      <c r="C128" s="304"/>
      <c r="D128" s="34"/>
      <c r="E128" s="56" t="s">
        <v>632</v>
      </c>
      <c r="F128" s="73">
        <v>88</v>
      </c>
      <c r="G128" s="74" t="s">
        <v>192</v>
      </c>
      <c r="H128" s="22">
        <f t="shared" si="209"/>
        <v>0</v>
      </c>
      <c r="I128" s="51">
        <f t="shared" si="210"/>
        <v>88</v>
      </c>
      <c r="J128" s="23">
        <v>350</v>
      </c>
      <c r="K128" s="24">
        <f t="shared" si="211"/>
        <v>30800</v>
      </c>
      <c r="L128" s="25">
        <f t="shared" si="212"/>
        <v>80</v>
      </c>
      <c r="M128" s="26">
        <v>2.56</v>
      </c>
      <c r="N128" s="26">
        <f t="shared" si="213"/>
        <v>225.28</v>
      </c>
      <c r="O128" s="24">
        <f t="shared" si="214"/>
        <v>18022.400000000001</v>
      </c>
      <c r="P128" s="27">
        <f t="shared" si="215"/>
        <v>554.80000000000007</v>
      </c>
      <c r="Q128" s="24">
        <f t="shared" si="216"/>
        <v>48822.400000000009</v>
      </c>
      <c r="R128" s="123"/>
    </row>
    <row r="129" spans="1:18" x14ac:dyDescent="0.35">
      <c r="A129" s="71" t="str">
        <f>IF(TRIM(G129)&lt;&gt;"",COUNTA(G$11:$G129)&amp;"","")</f>
        <v/>
      </c>
      <c r="B129" s="304"/>
      <c r="C129" s="304"/>
      <c r="D129" s="34"/>
      <c r="E129" s="56"/>
      <c r="F129" s="73"/>
      <c r="G129" s="74"/>
      <c r="H129" s="22" t="str">
        <f t="shared" si="191"/>
        <v/>
      </c>
      <c r="I129" s="51" t="str">
        <f t="shared" si="192"/>
        <v/>
      </c>
      <c r="J129" s="23"/>
      <c r="K129" s="24" t="str">
        <f t="shared" si="194"/>
        <v/>
      </c>
      <c r="L129" s="25" t="str">
        <f t="shared" si="195"/>
        <v/>
      </c>
      <c r="M129" s="26"/>
      <c r="N129" s="26" t="str">
        <f t="shared" si="197"/>
        <v/>
      </c>
      <c r="O129" s="24" t="str">
        <f t="shared" si="198"/>
        <v/>
      </c>
      <c r="P129" s="27" t="str">
        <f t="shared" si="199"/>
        <v/>
      </c>
      <c r="Q129" s="24" t="str">
        <f t="shared" si="200"/>
        <v/>
      </c>
      <c r="R129" s="123"/>
    </row>
    <row r="130" spans="1:18" s="18" customFormat="1" ht="19.25" customHeight="1" x14ac:dyDescent="0.35">
      <c r="A130" s="71" t="str">
        <f>IF(TRIM(G130)&lt;&gt;"",COUNTA(G$11:$G130)&amp;"","")</f>
        <v/>
      </c>
      <c r="B130" s="304"/>
      <c r="C130" s="304"/>
      <c r="D130" s="207" t="s">
        <v>180</v>
      </c>
      <c r="E130" s="205" t="s">
        <v>82</v>
      </c>
      <c r="F130" s="73"/>
      <c r="G130" s="74"/>
      <c r="H130" s="22" t="str">
        <f t="shared" si="191"/>
        <v/>
      </c>
      <c r="I130" s="51" t="str">
        <f t="shared" si="192"/>
        <v/>
      </c>
      <c r="J130" s="23"/>
      <c r="K130" s="24" t="str">
        <f t="shared" si="194"/>
        <v/>
      </c>
      <c r="L130" s="25" t="str">
        <f t="shared" si="195"/>
        <v/>
      </c>
      <c r="M130" s="26"/>
      <c r="N130" s="26" t="str">
        <f t="shared" si="197"/>
        <v/>
      </c>
      <c r="O130" s="24" t="str">
        <f t="shared" si="198"/>
        <v/>
      </c>
      <c r="P130" s="27" t="str">
        <f t="shared" si="199"/>
        <v/>
      </c>
      <c r="Q130" s="24" t="str">
        <f t="shared" si="200"/>
        <v/>
      </c>
      <c r="R130" s="125"/>
    </row>
    <row r="131" spans="1:18" ht="72.5" x14ac:dyDescent="0.35">
      <c r="A131" s="71" t="str">
        <f>IF(TRIM(G131)&lt;&gt;"",COUNTA(G$11:$G131)&amp;"","")</f>
        <v>69</v>
      </c>
      <c r="B131" s="304"/>
      <c r="C131" s="304"/>
      <c r="D131" s="34"/>
      <c r="E131" s="56" t="s">
        <v>251</v>
      </c>
      <c r="F131" s="73">
        <v>44</v>
      </c>
      <c r="G131" s="74" t="s">
        <v>192</v>
      </c>
      <c r="H131" s="22">
        <f t="shared" si="191"/>
        <v>0</v>
      </c>
      <c r="I131" s="51">
        <f t="shared" si="192"/>
        <v>44</v>
      </c>
      <c r="J131" s="23">
        <f>46*3*(4+10/12)</f>
        <v>667</v>
      </c>
      <c r="K131" s="24">
        <f t="shared" si="194"/>
        <v>29348</v>
      </c>
      <c r="L131" s="25">
        <f t="shared" si="195"/>
        <v>80</v>
      </c>
      <c r="M131" s="26">
        <f>0.35*3*(4+10/12)</f>
        <v>5.0749999999999984</v>
      </c>
      <c r="N131" s="26">
        <f t="shared" si="197"/>
        <v>223.29999999999993</v>
      </c>
      <c r="O131" s="24">
        <f t="shared" si="198"/>
        <v>17863.999999999993</v>
      </c>
      <c r="P131" s="27">
        <f t="shared" si="199"/>
        <v>1072.9999999999998</v>
      </c>
      <c r="Q131" s="24">
        <f t="shared" si="200"/>
        <v>47211.999999999993</v>
      </c>
      <c r="R131" s="123"/>
    </row>
    <row r="132" spans="1:18" ht="72.5" x14ac:dyDescent="0.35">
      <c r="A132" s="71" t="str">
        <f>IF(TRIM(G132)&lt;&gt;"",COUNTA(G$11:$G132)&amp;"","")</f>
        <v>70</v>
      </c>
      <c r="B132" s="304"/>
      <c r="C132" s="304"/>
      <c r="D132" s="34"/>
      <c r="E132" s="56" t="s">
        <v>252</v>
      </c>
      <c r="F132" s="73">
        <v>30</v>
      </c>
      <c r="G132" s="74" t="s">
        <v>192</v>
      </c>
      <c r="H132" s="22">
        <f t="shared" si="191"/>
        <v>0</v>
      </c>
      <c r="I132" s="51">
        <f t="shared" si="192"/>
        <v>30</v>
      </c>
      <c r="J132" s="23">
        <f>46*2*(3+2/12)</f>
        <v>291.33333333333331</v>
      </c>
      <c r="K132" s="24">
        <f t="shared" si="194"/>
        <v>8740</v>
      </c>
      <c r="L132" s="25">
        <f t="shared" si="195"/>
        <v>80</v>
      </c>
      <c r="M132" s="26">
        <f>0.35*2*(3+2/12)</f>
        <v>2.2166666666666663</v>
      </c>
      <c r="N132" s="26">
        <f t="shared" si="197"/>
        <v>66.499999999999986</v>
      </c>
      <c r="O132" s="24">
        <f t="shared" si="198"/>
        <v>5319.9999999999991</v>
      </c>
      <c r="P132" s="27">
        <f t="shared" si="199"/>
        <v>468.66666666666669</v>
      </c>
      <c r="Q132" s="24">
        <f t="shared" si="200"/>
        <v>14060</v>
      </c>
      <c r="R132" s="123"/>
    </row>
    <row r="133" spans="1:18" ht="72.5" x14ac:dyDescent="0.35">
      <c r="A133" s="71" t="str">
        <f>IF(TRIM(G133)&lt;&gt;"",COUNTA(G$11:$G133)&amp;"","")</f>
        <v>71</v>
      </c>
      <c r="B133" s="304"/>
      <c r="C133" s="304"/>
      <c r="D133" s="34"/>
      <c r="E133" s="56" t="s">
        <v>253</v>
      </c>
      <c r="F133" s="73">
        <v>3</v>
      </c>
      <c r="G133" s="74" t="s">
        <v>192</v>
      </c>
      <c r="H133" s="22">
        <f t="shared" si="191"/>
        <v>0</v>
      </c>
      <c r="I133" s="51">
        <f t="shared" si="192"/>
        <v>3</v>
      </c>
      <c r="J133" s="23">
        <f>46*4*1.5</f>
        <v>276</v>
      </c>
      <c r="K133" s="24">
        <f t="shared" si="194"/>
        <v>828</v>
      </c>
      <c r="L133" s="25">
        <f t="shared" si="195"/>
        <v>80</v>
      </c>
      <c r="M133" s="26">
        <f>0.35*4*1.5</f>
        <v>2.0999999999999996</v>
      </c>
      <c r="N133" s="26">
        <f t="shared" si="197"/>
        <v>6.2999999999999989</v>
      </c>
      <c r="O133" s="24">
        <f t="shared" si="198"/>
        <v>503.99999999999989</v>
      </c>
      <c r="P133" s="27">
        <f t="shared" si="199"/>
        <v>444</v>
      </c>
      <c r="Q133" s="24">
        <f t="shared" si="200"/>
        <v>1332</v>
      </c>
      <c r="R133" s="123"/>
    </row>
    <row r="134" spans="1:18" ht="72.5" x14ac:dyDescent="0.35">
      <c r="A134" s="71" t="str">
        <f>IF(TRIM(G134)&lt;&gt;"",COUNTA(G$11:$G134)&amp;"","")</f>
        <v>72</v>
      </c>
      <c r="B134" s="304"/>
      <c r="C134" s="304"/>
      <c r="D134" s="34"/>
      <c r="E134" s="56" t="s">
        <v>254</v>
      </c>
      <c r="F134" s="73">
        <v>7</v>
      </c>
      <c r="G134" s="74" t="s">
        <v>192</v>
      </c>
      <c r="H134" s="22">
        <f t="shared" si="191"/>
        <v>0</v>
      </c>
      <c r="I134" s="51">
        <f t="shared" si="192"/>
        <v>7</v>
      </c>
      <c r="J134" s="23">
        <f>46*2*1.5</f>
        <v>138</v>
      </c>
      <c r="K134" s="24">
        <f t="shared" si="194"/>
        <v>966</v>
      </c>
      <c r="L134" s="25">
        <f t="shared" si="195"/>
        <v>80</v>
      </c>
      <c r="M134" s="26">
        <f>0.35*2*1.5</f>
        <v>1.0499999999999998</v>
      </c>
      <c r="N134" s="26">
        <f t="shared" si="197"/>
        <v>7.3499999999999988</v>
      </c>
      <c r="O134" s="24">
        <f t="shared" si="198"/>
        <v>587.99999999999989</v>
      </c>
      <c r="P134" s="27">
        <f t="shared" si="199"/>
        <v>222</v>
      </c>
      <c r="Q134" s="24">
        <f t="shared" si="200"/>
        <v>1554</v>
      </c>
      <c r="R134" s="123"/>
    </row>
    <row r="135" spans="1:18" x14ac:dyDescent="0.35">
      <c r="A135" s="71" t="str">
        <f>IF(TRIM(G135)&lt;&gt;"",COUNTA(G$11:$G135)&amp;"","")</f>
        <v/>
      </c>
      <c r="B135" s="304"/>
      <c r="C135" s="304"/>
      <c r="D135" s="34"/>
      <c r="E135" s="258"/>
      <c r="F135" s="73"/>
      <c r="G135" s="74"/>
      <c r="H135" s="22"/>
      <c r="I135" s="51"/>
      <c r="J135" s="23"/>
      <c r="K135" s="24"/>
      <c r="L135" s="25"/>
      <c r="M135" s="26"/>
      <c r="N135" s="26"/>
      <c r="O135" s="24"/>
      <c r="P135" s="27"/>
      <c r="Q135" s="24"/>
      <c r="R135" s="123"/>
    </row>
    <row r="136" spans="1:18" x14ac:dyDescent="0.35">
      <c r="A136" s="71" t="str">
        <f>IF(TRIM(G136)&lt;&gt;"",COUNTA(G$11:$G136)&amp;"","")</f>
        <v/>
      </c>
      <c r="B136" s="304"/>
      <c r="C136" s="304"/>
      <c r="D136" s="34"/>
      <c r="E136" s="205" t="s">
        <v>508</v>
      </c>
      <c r="F136" s="73"/>
      <c r="G136" s="74"/>
      <c r="H136" s="22"/>
      <c r="I136" s="51"/>
      <c r="J136" s="23"/>
      <c r="K136" s="24"/>
      <c r="L136" s="25"/>
      <c r="M136" s="26"/>
      <c r="N136" s="26"/>
      <c r="O136" s="24"/>
      <c r="P136" s="27"/>
      <c r="Q136" s="24"/>
      <c r="R136" s="123"/>
    </row>
    <row r="137" spans="1:18" x14ac:dyDescent="0.35">
      <c r="A137" s="71" t="str">
        <f>IF(TRIM(G137)&lt;&gt;"",COUNTA(G$11:$G137)&amp;"","")</f>
        <v>73</v>
      </c>
      <c r="B137" s="304"/>
      <c r="C137" s="304"/>
      <c r="D137" s="34"/>
      <c r="E137" s="258" t="s">
        <v>509</v>
      </c>
      <c r="F137" s="73">
        <f>(F103+F104+F105+F106)</f>
        <v>1482.65</v>
      </c>
      <c r="G137" s="74" t="s">
        <v>154</v>
      </c>
      <c r="H137" s="22">
        <v>0.1</v>
      </c>
      <c r="I137" s="51">
        <f t="shared" ref="I137" si="217">IF(F137=0,"",F137+(F137*H137))</f>
        <v>1630.9150000000002</v>
      </c>
      <c r="J137" s="23">
        <v>4.3600000000000003</v>
      </c>
      <c r="K137" s="24">
        <f t="shared" ref="K137" si="218">IF(F137=0,"",J137*I137)</f>
        <v>7110.7894000000015</v>
      </c>
      <c r="L137" s="25">
        <f t="shared" ref="L137" si="219">IF(F137=0,"",L$116)</f>
        <v>80</v>
      </c>
      <c r="M137" s="26">
        <v>3.5999999999999997E-2</v>
      </c>
      <c r="N137" s="26">
        <f t="shared" ref="N137" si="220">IF(F137=0,"",M137*I137)</f>
        <v>58.712940000000003</v>
      </c>
      <c r="O137" s="24">
        <f t="shared" ref="O137" si="221">IF(F137=0,"",N137*L137)</f>
        <v>4697.0352000000003</v>
      </c>
      <c r="P137" s="27">
        <f t="shared" ref="P137" si="222">IF(F137=0,"",(K137+O137)/I137)</f>
        <v>7.24</v>
      </c>
      <c r="Q137" s="24">
        <f t="shared" ref="Q137" si="223">IF(F137=0,"",(P137*I137))</f>
        <v>11807.824600000002</v>
      </c>
      <c r="R137" s="123"/>
    </row>
    <row r="138" spans="1:18" x14ac:dyDescent="0.35">
      <c r="A138" s="71" t="str">
        <f>IF(TRIM(G138)&lt;&gt;"",COUNTA(G$11:$G138)&amp;"","")</f>
        <v/>
      </c>
      <c r="B138" s="304"/>
      <c r="C138" s="304"/>
      <c r="D138" s="34"/>
      <c r="E138" s="258"/>
      <c r="F138" s="73"/>
      <c r="G138" s="74"/>
      <c r="H138" s="22"/>
      <c r="I138" s="51"/>
      <c r="J138" s="23"/>
      <c r="K138" s="24"/>
      <c r="L138" s="25"/>
      <c r="M138" s="26"/>
      <c r="N138" s="26"/>
      <c r="O138" s="24"/>
      <c r="P138" s="27"/>
      <c r="Q138" s="24"/>
      <c r="R138" s="123"/>
    </row>
    <row r="139" spans="1:18" x14ac:dyDescent="0.35">
      <c r="A139" s="71" t="str">
        <f>IF(TRIM(G139)&lt;&gt;"",COUNTA(G$11:$G139)&amp;"","")</f>
        <v/>
      </c>
      <c r="B139" s="304"/>
      <c r="C139" s="304"/>
      <c r="D139" s="34"/>
      <c r="E139" s="205" t="s">
        <v>510</v>
      </c>
      <c r="F139" s="73"/>
      <c r="G139" s="74"/>
      <c r="H139" s="22"/>
      <c r="I139" s="51"/>
      <c r="J139" s="23"/>
      <c r="K139" s="24"/>
      <c r="L139" s="25"/>
      <c r="M139" s="26"/>
      <c r="N139" s="26"/>
      <c r="O139" s="24"/>
      <c r="P139" s="27"/>
      <c r="Q139" s="24"/>
      <c r="R139" s="123"/>
    </row>
    <row r="140" spans="1:18" x14ac:dyDescent="0.35">
      <c r="A140" s="71" t="str">
        <f>IF(TRIM(G140)&lt;&gt;"",COUNTA(G$11:$G140)&amp;"","")</f>
        <v>74</v>
      </c>
      <c r="B140" s="304"/>
      <c r="C140" s="304"/>
      <c r="D140" s="34"/>
      <c r="E140" s="258" t="s">
        <v>511</v>
      </c>
      <c r="F140" s="73">
        <f>(F103+F104+F105+F106+F77+F78)/55</f>
        <v>93.38127272727273</v>
      </c>
      <c r="G140" s="74" t="s">
        <v>192</v>
      </c>
      <c r="H140" s="22">
        <f t="shared" ref="H140" si="224">IF(F140=0,"",0)</f>
        <v>0</v>
      </c>
      <c r="I140" s="51">
        <f t="shared" ref="I140" si="225">IF(F140=0,"",F140+(F140*H140))</f>
        <v>93.38127272727273</v>
      </c>
      <c r="J140" s="23">
        <f>0.2*55</f>
        <v>11</v>
      </c>
      <c r="K140" s="24">
        <f t="shared" ref="K140" si="226">IF(F140=0,"",J140*I140)</f>
        <v>1027.194</v>
      </c>
      <c r="L140" s="25">
        <f t="shared" ref="L140" si="227">IF(F140=0,"",L$116)</f>
        <v>80</v>
      </c>
      <c r="M140" s="26">
        <f>0.016*55</f>
        <v>0.88</v>
      </c>
      <c r="N140" s="26">
        <f t="shared" ref="N140" si="228">IF(F140=0,"",M140*I140)</f>
        <v>82.175520000000006</v>
      </c>
      <c r="O140" s="24">
        <f t="shared" ref="O140" si="229">IF(F140=0,"",N140*L140)</f>
        <v>6574.0416000000005</v>
      </c>
      <c r="P140" s="27">
        <f t="shared" ref="P140" si="230">IF(F140=0,"",(K140+O140)/I140)</f>
        <v>81.399999999999991</v>
      </c>
      <c r="Q140" s="24">
        <f t="shared" ref="Q140" si="231">IF(F140=0,"",(P140*I140))</f>
        <v>7601.2355999999991</v>
      </c>
      <c r="R140" s="123"/>
    </row>
    <row r="141" spans="1:18" x14ac:dyDescent="0.35">
      <c r="A141" s="71" t="str">
        <f>IF(TRIM(G141)&lt;&gt;"",COUNTA(G$11:$G141)&amp;"","")</f>
        <v/>
      </c>
      <c r="B141" s="75"/>
      <c r="C141" s="75"/>
      <c r="D141" s="34"/>
      <c r="E141" s="258"/>
      <c r="F141" s="73"/>
      <c r="G141" s="74"/>
      <c r="H141" s="22"/>
      <c r="I141" s="51"/>
      <c r="J141" s="23"/>
      <c r="K141" s="24"/>
      <c r="L141" s="25"/>
      <c r="M141" s="26"/>
      <c r="N141" s="26"/>
      <c r="O141" s="24"/>
      <c r="P141" s="27"/>
      <c r="Q141" s="24"/>
      <c r="R141" s="123"/>
    </row>
    <row r="142" spans="1:18" ht="15" thickBot="1" x14ac:dyDescent="0.4">
      <c r="A142" s="71" t="str">
        <f>IF(TRIM(G142)&lt;&gt;"",COUNTA(G$11:$G142)&amp;"","")</f>
        <v/>
      </c>
      <c r="B142" s="75"/>
      <c r="C142" s="75"/>
      <c r="D142" s="34"/>
      <c r="E142" s="76"/>
      <c r="F142" s="73"/>
      <c r="G142" s="74"/>
      <c r="H142" s="22" t="str">
        <f t="shared" ref="H142" si="232">IF(F142=0,"",0)</f>
        <v/>
      </c>
      <c r="I142" s="51" t="str">
        <f t="shared" ref="I142" si="233">IF(F142=0,"",F142+(F142*H142))</f>
        <v/>
      </c>
      <c r="J142" s="23" t="str">
        <f t="shared" ref="J142" si="234">IF(F142=0,"",0)</f>
        <v/>
      </c>
      <c r="K142" s="24" t="str">
        <f t="shared" ref="K142" si="235">IF(F142=0,"",J142*I142)</f>
        <v/>
      </c>
      <c r="L142" s="25" t="str">
        <f t="shared" ref="L142" si="236">IF(F142=0,"",L$116)</f>
        <v/>
      </c>
      <c r="M142" s="26" t="str">
        <f t="shared" ref="M142" si="237">IF(F142=0,"",0)</f>
        <v/>
      </c>
      <c r="N142" s="26" t="str">
        <f t="shared" ref="N142" si="238">IF(F142=0,"",M142*I142)</f>
        <v/>
      </c>
      <c r="O142" s="24" t="str">
        <f t="shared" ref="O142" si="239">IF(F142=0,"",N142*L142)</f>
        <v/>
      </c>
      <c r="P142" s="27" t="str">
        <f t="shared" ref="P142" si="240">IF(F142=0,"",(K142+O142)/I142)</f>
        <v/>
      </c>
      <c r="Q142" s="24" t="str">
        <f t="shared" ref="Q142" si="241">IF(F142=0,"",(P142*I142))</f>
        <v/>
      </c>
      <c r="R142" s="123"/>
    </row>
    <row r="143" spans="1:18" s="2" customFormat="1" ht="16" thickBot="1" x14ac:dyDescent="0.4">
      <c r="A143" s="84" t="str">
        <f>IF(TRIM(G143)&lt;&gt;"",COUNTA(G$11:$G143)&amp;"","")</f>
        <v/>
      </c>
      <c r="B143" s="1"/>
      <c r="C143" s="1"/>
      <c r="D143" s="20"/>
      <c r="E143" s="19"/>
      <c r="F143" s="179"/>
      <c r="G143" s="190"/>
      <c r="H143" s="85" t="s">
        <v>12</v>
      </c>
      <c r="I143" s="86"/>
      <c r="J143" s="87">
        <f>SUM(K$117:K$142)</f>
        <v>172917.70562222225</v>
      </c>
      <c r="K143" s="311" t="s">
        <v>13</v>
      </c>
      <c r="L143" s="312"/>
      <c r="M143" s="88">
        <f>SUM(O$117:O$142)</f>
        <v>101532.3879111111</v>
      </c>
      <c r="N143" s="311" t="s">
        <v>42</v>
      </c>
      <c r="O143" s="312"/>
      <c r="P143" s="89">
        <f>SUM(N$117:N$142)</f>
        <v>1269.1548488888886</v>
      </c>
      <c r="Q143" s="191" t="s">
        <v>187</v>
      </c>
      <c r="R143" s="88">
        <f>SUM(Q$117:Q$142)</f>
        <v>274450.09353333339</v>
      </c>
    </row>
    <row r="144" spans="1:18" ht="25" customHeight="1" thickBot="1" x14ac:dyDescent="0.4">
      <c r="A144" s="181" t="str">
        <f>IF(TRIM(G144)&lt;&gt;"",COUNTA(G$11:$G144)&amp;"","")</f>
        <v/>
      </c>
      <c r="B144" s="182"/>
      <c r="C144" s="183" t="s">
        <v>120</v>
      </c>
      <c r="D144" s="193" t="s">
        <v>44</v>
      </c>
      <c r="E144" s="193" t="s">
        <v>47</v>
      </c>
      <c r="F144" s="194"/>
      <c r="G144" s="184"/>
      <c r="H144" s="182"/>
      <c r="I144" s="184"/>
      <c r="J144" s="182"/>
      <c r="K144" s="182"/>
      <c r="L144" s="202">
        <v>76</v>
      </c>
      <c r="M144" s="182"/>
      <c r="N144" s="182"/>
      <c r="O144" s="182"/>
      <c r="P144" s="182"/>
      <c r="Q144" s="182"/>
      <c r="R144" s="185"/>
    </row>
    <row r="145" spans="1:18" x14ac:dyDescent="0.35">
      <c r="A145" s="71" t="str">
        <f>IF(TRIM(G145)&lt;&gt;"",COUNTA(G$11:$G145)&amp;"","")</f>
        <v/>
      </c>
      <c r="B145" s="72"/>
      <c r="C145" s="72"/>
      <c r="D145" s="34"/>
      <c r="E145" s="205" t="s">
        <v>604</v>
      </c>
      <c r="F145" s="73"/>
      <c r="G145" s="74"/>
      <c r="H145" s="22" t="str">
        <f t="shared" ref="H145" si="242">IF(F145=0,"",0)</f>
        <v/>
      </c>
      <c r="I145" s="51" t="str">
        <f t="shared" ref="I145" si="243">IF(F145=0,"",F145+(F145*H145))</f>
        <v/>
      </c>
      <c r="J145" s="23" t="str">
        <f t="shared" ref="J145" si="244">IF(F145=0,"",0)</f>
        <v/>
      </c>
      <c r="K145" s="24" t="str">
        <f t="shared" ref="K145" si="245">IF(F145=0,"",J145*I145)</f>
        <v/>
      </c>
      <c r="L145" s="25" t="str">
        <f>IF(F145=0,"",L$144)</f>
        <v/>
      </c>
      <c r="M145" s="26" t="str">
        <f t="shared" ref="M145" si="246">IF(F145=0,"",0)</f>
        <v/>
      </c>
      <c r="N145" s="26" t="str">
        <f t="shared" ref="N145" si="247">IF(F145=0,"",M145*I145)</f>
        <v/>
      </c>
      <c r="O145" s="24" t="str">
        <f t="shared" ref="O145" si="248">IF(F145=0,"",N145*L145)</f>
        <v/>
      </c>
      <c r="P145" s="27" t="str">
        <f t="shared" ref="P145" si="249">IF(F145=0,"",(K145+O145)/I145)</f>
        <v/>
      </c>
      <c r="Q145" s="24" t="str">
        <f t="shared" ref="Q145" si="250">IF(F145=0,"",(P145*I145))</f>
        <v/>
      </c>
      <c r="R145" s="123"/>
    </row>
    <row r="146" spans="1:18" x14ac:dyDescent="0.35">
      <c r="A146" s="71" t="str">
        <f>IF(TRIM(G146)&lt;&gt;"",COUNTA(G$11:$G146)&amp;"","")</f>
        <v/>
      </c>
      <c r="B146" s="72"/>
      <c r="C146" s="72"/>
      <c r="D146" s="34"/>
      <c r="E146" s="256" t="s">
        <v>612</v>
      </c>
      <c r="F146" s="73"/>
      <c r="G146" s="74"/>
      <c r="H146" s="22"/>
      <c r="I146" s="51"/>
      <c r="J146" s="23"/>
      <c r="K146" s="24"/>
      <c r="L146" s="25"/>
      <c r="M146" s="26"/>
      <c r="N146" s="26"/>
      <c r="O146" s="24"/>
      <c r="P146" s="27"/>
      <c r="Q146" s="24"/>
      <c r="R146" s="123"/>
    </row>
    <row r="147" spans="1:18" x14ac:dyDescent="0.35">
      <c r="A147" s="71" t="str">
        <f>IF(TRIM(G147)&lt;&gt;"",COUNTA(G$11:$G147)&amp;"","")</f>
        <v>75</v>
      </c>
      <c r="B147" s="303" t="s">
        <v>628</v>
      </c>
      <c r="C147" s="303" t="s">
        <v>628</v>
      </c>
      <c r="D147" s="34"/>
      <c r="E147" s="69" t="s">
        <v>613</v>
      </c>
      <c r="F147" s="73">
        <f>(352.45*9)/48</f>
        <v>66.084374999999994</v>
      </c>
      <c r="G147" s="74" t="s">
        <v>192</v>
      </c>
      <c r="H147" s="22">
        <v>0.05</v>
      </c>
      <c r="I147" s="51">
        <f t="shared" ref="I147:I151" si="251">IF(F147=0,"",F147+(F147*H147))</f>
        <v>69.388593749999998</v>
      </c>
      <c r="J147" s="23">
        <f>0.62*4*12</f>
        <v>29.759999999999998</v>
      </c>
      <c r="K147" s="24">
        <f t="shared" ref="K147:K151" si="252">IF(F147=0,"",J147*I147)</f>
        <v>2065.0045499999997</v>
      </c>
      <c r="L147" s="25">
        <f>$L$144</f>
        <v>76</v>
      </c>
      <c r="M147" s="26">
        <f>0.016*4*12</f>
        <v>0.76800000000000002</v>
      </c>
      <c r="N147" s="26">
        <f t="shared" ref="N147:N151" si="253">IF(F147=0,"",M147*I147)</f>
        <v>53.290439999999997</v>
      </c>
      <c r="O147" s="24">
        <f t="shared" ref="O147:O151" si="254">IF(F147=0,"",N147*L147)</f>
        <v>4050.0734399999997</v>
      </c>
      <c r="P147" s="27">
        <f t="shared" ref="P147:P151" si="255">IF(F147=0,"",(K147+O147)/I147)</f>
        <v>88.128</v>
      </c>
      <c r="Q147" s="24">
        <f t="shared" ref="Q147:Q151" si="256">IF(F147=0,"",(P147*I147))</f>
        <v>6115.0779899999998</v>
      </c>
      <c r="R147" s="123"/>
    </row>
    <row r="148" spans="1:18" x14ac:dyDescent="0.35">
      <c r="A148" s="71" t="str">
        <f>IF(TRIM(G148)&lt;&gt;"",COUNTA(G$11:$G148)&amp;"","")</f>
        <v>76</v>
      </c>
      <c r="B148" s="304"/>
      <c r="C148" s="304"/>
      <c r="D148" s="34"/>
      <c r="E148" s="69" t="s">
        <v>615</v>
      </c>
      <c r="F148" s="73">
        <f>(2301.56*9)/48</f>
        <v>431.54250000000002</v>
      </c>
      <c r="G148" s="74" t="s">
        <v>192</v>
      </c>
      <c r="H148" s="22">
        <v>0.05</v>
      </c>
      <c r="I148" s="51">
        <f t="shared" si="251"/>
        <v>453.11962500000004</v>
      </c>
      <c r="J148" s="23">
        <f>0.52*4*12</f>
        <v>24.96</v>
      </c>
      <c r="K148" s="24">
        <f t="shared" si="252"/>
        <v>11309.865840000002</v>
      </c>
      <c r="L148" s="25">
        <f t="shared" ref="L148:L152" si="257">$L$144</f>
        <v>76</v>
      </c>
      <c r="M148" s="26">
        <f>0.016*4*12</f>
        <v>0.76800000000000002</v>
      </c>
      <c r="N148" s="26">
        <f t="shared" si="253"/>
        <v>347.99587200000002</v>
      </c>
      <c r="O148" s="24">
        <f t="shared" si="254"/>
        <v>26447.686272000003</v>
      </c>
      <c r="P148" s="27">
        <f t="shared" si="255"/>
        <v>83.328000000000003</v>
      </c>
      <c r="Q148" s="24">
        <f t="shared" si="256"/>
        <v>37757.552112000005</v>
      </c>
      <c r="R148" s="123"/>
    </row>
    <row r="149" spans="1:18" x14ac:dyDescent="0.35">
      <c r="A149" s="71" t="str">
        <f>IF(TRIM(G149)&lt;&gt;"",COUNTA(G$11:$G149)&amp;"","")</f>
        <v>77</v>
      </c>
      <c r="B149" s="304"/>
      <c r="C149" s="304"/>
      <c r="D149" s="34"/>
      <c r="E149" s="69" t="s">
        <v>614</v>
      </c>
      <c r="F149" s="73">
        <f>(30.8*7)/32</f>
        <v>6.7374999999999998</v>
      </c>
      <c r="G149" s="74" t="s">
        <v>192</v>
      </c>
      <c r="H149" s="22">
        <v>0.05</v>
      </c>
      <c r="I149" s="51">
        <f t="shared" si="251"/>
        <v>7.0743749999999999</v>
      </c>
      <c r="J149" s="23">
        <f>0.52*4*8</f>
        <v>16.64</v>
      </c>
      <c r="K149" s="24">
        <f t="shared" si="252"/>
        <v>117.7176</v>
      </c>
      <c r="L149" s="25">
        <f t="shared" si="257"/>
        <v>76</v>
      </c>
      <c r="M149" s="26">
        <f>0.016*4*8</f>
        <v>0.51200000000000001</v>
      </c>
      <c r="N149" s="26">
        <f t="shared" si="253"/>
        <v>3.62208</v>
      </c>
      <c r="O149" s="24">
        <f t="shared" si="254"/>
        <v>275.27807999999999</v>
      </c>
      <c r="P149" s="27">
        <f t="shared" si="255"/>
        <v>55.552</v>
      </c>
      <c r="Q149" s="24">
        <f t="shared" si="256"/>
        <v>392.99567999999999</v>
      </c>
      <c r="R149" s="123"/>
    </row>
    <row r="150" spans="1:18" x14ac:dyDescent="0.35">
      <c r="A150" s="71" t="str">
        <f>IF(TRIM(G150)&lt;&gt;"",COUNTA(G$11:$G150)&amp;"","")</f>
        <v>78</v>
      </c>
      <c r="B150" s="304"/>
      <c r="C150" s="304"/>
      <c r="D150" s="34"/>
      <c r="E150" s="69" t="s">
        <v>616</v>
      </c>
      <c r="F150" s="73">
        <f>(286.42*9)/32</f>
        <v>80.555625000000006</v>
      </c>
      <c r="G150" s="74" t="s">
        <v>192</v>
      </c>
      <c r="H150" s="22">
        <v>0.05</v>
      </c>
      <c r="I150" s="51">
        <f t="shared" si="251"/>
        <v>84.58340625000001</v>
      </c>
      <c r="J150" s="23">
        <f>0.67*4*8</f>
        <v>21.44</v>
      </c>
      <c r="K150" s="24">
        <f t="shared" si="252"/>
        <v>1813.4682300000004</v>
      </c>
      <c r="L150" s="25">
        <f t="shared" si="257"/>
        <v>76</v>
      </c>
      <c r="M150" s="26">
        <f>0.018*4*8</f>
        <v>0.57599999999999996</v>
      </c>
      <c r="N150" s="26">
        <f t="shared" si="253"/>
        <v>48.720041999999999</v>
      </c>
      <c r="O150" s="24">
        <f t="shared" si="254"/>
        <v>3702.7231919999999</v>
      </c>
      <c r="P150" s="27">
        <f t="shared" si="255"/>
        <v>65.215999999999994</v>
      </c>
      <c r="Q150" s="24">
        <f t="shared" si="256"/>
        <v>5516.1914219999999</v>
      </c>
      <c r="R150" s="123"/>
    </row>
    <row r="151" spans="1:18" x14ac:dyDescent="0.35">
      <c r="A151" s="71" t="str">
        <f>IF(TRIM(G151)&lt;&gt;"",COUNTA(G$11:$G151)&amp;"","")</f>
        <v>79</v>
      </c>
      <c r="B151" s="304"/>
      <c r="C151" s="304"/>
      <c r="D151" s="34"/>
      <c r="E151" s="69" t="s">
        <v>617</v>
      </c>
      <c r="F151" s="73">
        <f>(90.7*9)/15</f>
        <v>54.42</v>
      </c>
      <c r="G151" s="74" t="s">
        <v>192</v>
      </c>
      <c r="H151" s="22">
        <v>0.05</v>
      </c>
      <c r="I151" s="51">
        <f t="shared" si="251"/>
        <v>57.141000000000005</v>
      </c>
      <c r="J151" s="23">
        <f>1.13*3*5</f>
        <v>16.95</v>
      </c>
      <c r="K151" s="24">
        <f t="shared" si="252"/>
        <v>968.53995000000009</v>
      </c>
      <c r="L151" s="25">
        <f t="shared" si="257"/>
        <v>76</v>
      </c>
      <c r="M151" s="26">
        <f>0.02*3*5</f>
        <v>0.3</v>
      </c>
      <c r="N151" s="26">
        <f t="shared" si="253"/>
        <v>17.142300000000002</v>
      </c>
      <c r="O151" s="24">
        <f t="shared" si="254"/>
        <v>1302.8148000000001</v>
      </c>
      <c r="P151" s="27">
        <f t="shared" si="255"/>
        <v>39.750000000000007</v>
      </c>
      <c r="Q151" s="24">
        <f t="shared" si="256"/>
        <v>2271.3547500000004</v>
      </c>
      <c r="R151" s="123"/>
    </row>
    <row r="152" spans="1:18" x14ac:dyDescent="0.35">
      <c r="A152" s="71" t="str">
        <f>IF(TRIM(G152)&lt;&gt;"",COUNTA(G$11:$G152)&amp;"","")</f>
        <v>80</v>
      </c>
      <c r="B152" s="304"/>
      <c r="C152" s="304"/>
      <c r="D152" s="34"/>
      <c r="E152" s="69" t="s">
        <v>511</v>
      </c>
      <c r="F152" s="73">
        <f>(362*2)/55</f>
        <v>13.163636363636364</v>
      </c>
      <c r="G152" s="74" t="s">
        <v>192</v>
      </c>
      <c r="H152" s="22">
        <v>0.05</v>
      </c>
      <c r="I152" s="51">
        <f t="shared" ref="I152" si="258">IF(F152=0,"",F152+(F152*H152))</f>
        <v>13.821818181818182</v>
      </c>
      <c r="J152" s="23">
        <f>0.2*55</f>
        <v>11</v>
      </c>
      <c r="K152" s="24">
        <f t="shared" ref="K152" si="259">IF(F152=0,"",J152*I152)</f>
        <v>152.04</v>
      </c>
      <c r="L152" s="25">
        <f t="shared" si="257"/>
        <v>76</v>
      </c>
      <c r="M152" s="26">
        <f>0.016*55</f>
        <v>0.88</v>
      </c>
      <c r="N152" s="26">
        <f t="shared" ref="N152" si="260">IF(F152=0,"",M152*I152)</f>
        <v>12.1632</v>
      </c>
      <c r="O152" s="24">
        <f t="shared" ref="O152" si="261">IF(F152=0,"",N152*L152)</f>
        <v>924.40319999999997</v>
      </c>
      <c r="P152" s="27">
        <f t="shared" ref="P152" si="262">IF(F152=0,"",(K152+O152)/I152)</f>
        <v>77.88</v>
      </c>
      <c r="Q152" s="24">
        <f t="shared" ref="Q152" si="263">IF(F152=0,"",(P152*I152))</f>
        <v>1076.4431999999999</v>
      </c>
      <c r="R152" s="123"/>
    </row>
    <row r="153" spans="1:18" x14ac:dyDescent="0.35">
      <c r="A153" s="71" t="str">
        <f>IF(TRIM(G153)&lt;&gt;"",COUNTA(G$11:$G153)&amp;"","")</f>
        <v/>
      </c>
      <c r="B153" s="304"/>
      <c r="C153" s="304"/>
      <c r="D153" s="34"/>
      <c r="E153" s="69"/>
      <c r="F153" s="73"/>
      <c r="G153" s="74"/>
      <c r="H153" s="22"/>
      <c r="I153" s="51"/>
      <c r="J153" s="23"/>
      <c r="K153" s="24"/>
      <c r="L153" s="25"/>
      <c r="M153" s="26"/>
      <c r="N153" s="26"/>
      <c r="O153" s="24"/>
      <c r="P153" s="27"/>
      <c r="Q153" s="24"/>
      <c r="R153" s="123"/>
    </row>
    <row r="154" spans="1:18" x14ac:dyDescent="0.35">
      <c r="A154" s="71" t="str">
        <f>IF(TRIM(G154)&lt;&gt;"",COUNTA(G$11:$G154)&amp;"","")</f>
        <v/>
      </c>
      <c r="B154" s="304"/>
      <c r="C154" s="304"/>
      <c r="D154" s="34"/>
      <c r="E154" s="256" t="s">
        <v>618</v>
      </c>
      <c r="F154" s="73"/>
      <c r="G154" s="74"/>
      <c r="H154" s="22"/>
      <c r="I154" s="51"/>
      <c r="J154" s="23"/>
      <c r="K154" s="24"/>
      <c r="L154" s="25"/>
      <c r="M154" s="26"/>
      <c r="N154" s="26"/>
      <c r="O154" s="24"/>
      <c r="P154" s="27"/>
      <c r="Q154" s="24"/>
      <c r="R154" s="123"/>
    </row>
    <row r="155" spans="1:18" x14ac:dyDescent="0.35">
      <c r="A155" s="71" t="str">
        <f>IF(TRIM(G155)&lt;&gt;"",COUNTA(G$11:$G155)&amp;"","")</f>
        <v>81</v>
      </c>
      <c r="B155" s="304"/>
      <c r="C155" s="304"/>
      <c r="D155" s="34"/>
      <c r="E155" s="69" t="s">
        <v>619</v>
      </c>
      <c r="F155" s="73">
        <f>1430.85/32</f>
        <v>44.714062499999997</v>
      </c>
      <c r="G155" s="74" t="s">
        <v>192</v>
      </c>
      <c r="H155" s="22">
        <v>0.05</v>
      </c>
      <c r="I155" s="51">
        <f t="shared" ref="I155:I157" si="264">IF(F155=0,"",F155+(F155*H155))</f>
        <v>46.949765624999998</v>
      </c>
      <c r="J155" s="23">
        <f>0.62*4*8</f>
        <v>19.84</v>
      </c>
      <c r="K155" s="24">
        <f t="shared" ref="K155:K157" si="265">IF(F155=0,"",J155*I155)</f>
        <v>931.48334999999997</v>
      </c>
      <c r="L155" s="25">
        <f>$L$144</f>
        <v>76</v>
      </c>
      <c r="M155" s="26">
        <f>0.016*4*8</f>
        <v>0.51200000000000001</v>
      </c>
      <c r="N155" s="26">
        <f t="shared" ref="N155:N157" si="266">IF(F155=0,"",M155*I155)</f>
        <v>24.03828</v>
      </c>
      <c r="O155" s="24">
        <f t="shared" ref="O155:O157" si="267">IF(F155=0,"",N155*L155)</f>
        <v>1826.9092800000001</v>
      </c>
      <c r="P155" s="27">
        <f t="shared" ref="P155:P157" si="268">IF(F155=0,"",(K155+O155)/I155)</f>
        <v>58.75200000000001</v>
      </c>
      <c r="Q155" s="24">
        <f t="shared" ref="Q155:Q157" si="269">IF(F155=0,"",(P155*I155))</f>
        <v>2758.3926300000003</v>
      </c>
      <c r="R155" s="123"/>
    </row>
    <row r="156" spans="1:18" x14ac:dyDescent="0.35">
      <c r="A156" s="71" t="str">
        <f>IF(TRIM(G156)&lt;&gt;"",COUNTA(G$11:$G156)&amp;"","")</f>
        <v>82</v>
      </c>
      <c r="B156" s="304"/>
      <c r="C156" s="304"/>
      <c r="D156" s="34"/>
      <c r="E156" s="69" t="s">
        <v>614</v>
      </c>
      <c r="F156" s="73">
        <f>4996.52/32</f>
        <v>156.14125000000001</v>
      </c>
      <c r="G156" s="74" t="s">
        <v>192</v>
      </c>
      <c r="H156" s="22">
        <v>0.05</v>
      </c>
      <c r="I156" s="51">
        <f t="shared" si="264"/>
        <v>163.94831250000001</v>
      </c>
      <c r="J156" s="23">
        <f>0.52*4*8</f>
        <v>16.64</v>
      </c>
      <c r="K156" s="24">
        <f t="shared" si="265"/>
        <v>2728.0999200000001</v>
      </c>
      <c r="L156" s="25">
        <f t="shared" ref="L156:L157" si="270">$L$144</f>
        <v>76</v>
      </c>
      <c r="M156" s="26">
        <f>0.016*4*8</f>
        <v>0.51200000000000001</v>
      </c>
      <c r="N156" s="26">
        <f t="shared" si="266"/>
        <v>83.941536000000013</v>
      </c>
      <c r="O156" s="24">
        <f t="shared" si="267"/>
        <v>6379.5567360000014</v>
      </c>
      <c r="P156" s="27">
        <f t="shared" si="268"/>
        <v>55.552</v>
      </c>
      <c r="Q156" s="24">
        <f t="shared" si="269"/>
        <v>9107.656656000001</v>
      </c>
      <c r="R156" s="123"/>
    </row>
    <row r="157" spans="1:18" x14ac:dyDescent="0.35">
      <c r="A157" s="71" t="str">
        <f>IF(TRIM(G157)&lt;&gt;"",COUNTA(G$11:$G157)&amp;"","")</f>
        <v>83</v>
      </c>
      <c r="B157" s="304"/>
      <c r="C157" s="304"/>
      <c r="D157" s="34"/>
      <c r="E157" s="69" t="s">
        <v>616</v>
      </c>
      <c r="F157" s="73">
        <f>567.49/32</f>
        <v>17.7340625</v>
      </c>
      <c r="G157" s="74" t="s">
        <v>192</v>
      </c>
      <c r="H157" s="22">
        <v>0.05</v>
      </c>
      <c r="I157" s="51">
        <f t="shared" si="264"/>
        <v>18.620765625000001</v>
      </c>
      <c r="J157" s="23">
        <f>0.67*4*8</f>
        <v>21.44</v>
      </c>
      <c r="K157" s="24">
        <f t="shared" si="265"/>
        <v>399.22921500000001</v>
      </c>
      <c r="L157" s="25">
        <f t="shared" si="270"/>
        <v>76</v>
      </c>
      <c r="M157" s="26">
        <f>0.018*4*8</f>
        <v>0.57599999999999996</v>
      </c>
      <c r="N157" s="26">
        <f t="shared" si="266"/>
        <v>10.725560999999999</v>
      </c>
      <c r="O157" s="24">
        <f t="shared" si="267"/>
        <v>815.14263599999992</v>
      </c>
      <c r="P157" s="27">
        <f t="shared" si="268"/>
        <v>65.215999999999994</v>
      </c>
      <c r="Q157" s="24">
        <f t="shared" si="269"/>
        <v>1214.3718509999999</v>
      </c>
      <c r="R157" s="123"/>
    </row>
    <row r="158" spans="1:18" x14ac:dyDescent="0.35">
      <c r="A158" s="71" t="str">
        <f>IF(TRIM(G158)&lt;&gt;"",COUNTA(G$11:$G158)&amp;"","")</f>
        <v/>
      </c>
      <c r="B158" s="304"/>
      <c r="C158" s="304"/>
      <c r="D158" s="34"/>
      <c r="E158" s="69"/>
      <c r="F158" s="73"/>
      <c r="G158" s="74"/>
      <c r="H158" s="22"/>
      <c r="I158" s="51"/>
      <c r="J158" s="23"/>
      <c r="K158" s="24"/>
      <c r="L158" s="25"/>
      <c r="M158" s="26"/>
      <c r="N158" s="26"/>
      <c r="O158" s="24"/>
      <c r="P158" s="27"/>
      <c r="Q158" s="24"/>
      <c r="R158" s="123"/>
    </row>
    <row r="159" spans="1:18" ht="15.5" x14ac:dyDescent="0.35">
      <c r="A159" s="71" t="str">
        <f>IF(TRIM(G159)&lt;&gt;"",COUNTA(G$11:$G159)&amp;"","")</f>
        <v>84</v>
      </c>
      <c r="B159" s="304"/>
      <c r="C159" s="304"/>
      <c r="D159" s="34"/>
      <c r="E159" s="269" t="s">
        <v>620</v>
      </c>
      <c r="F159" s="270">
        <f>((F147+F148)*48/32+(F149+F150+F155+F156+F157)+(F151*15/32))*10</f>
        <v>10778.321875000001</v>
      </c>
      <c r="G159" s="74" t="s">
        <v>154</v>
      </c>
      <c r="H159" s="22">
        <v>0.05</v>
      </c>
      <c r="I159" s="51">
        <f t="shared" ref="I159:I161" si="271">IF(F159=0,"",F159+(F159*H159))</f>
        <v>11317.237968750002</v>
      </c>
      <c r="J159" s="23">
        <v>0.01</v>
      </c>
      <c r="K159" s="24">
        <f>IF(F159=0,"",J159*I159)</f>
        <v>113.17237968750001</v>
      </c>
      <c r="L159" s="25">
        <f>$L$144</f>
        <v>76</v>
      </c>
      <c r="M159" s="26">
        <v>0.01</v>
      </c>
      <c r="N159" s="26">
        <f t="shared" ref="N159:N161" si="272">IF(F159=0,"",M159*I159)</f>
        <v>113.17237968750001</v>
      </c>
      <c r="O159" s="24">
        <f t="shared" ref="O159:O161" si="273">IF(F159=0,"",N159*L159)</f>
        <v>8601.100856250001</v>
      </c>
      <c r="P159" s="27">
        <f t="shared" ref="P159:P161" si="274">IF(F159=0,"",(K159+O159)/I159)</f>
        <v>0.76999999999999991</v>
      </c>
      <c r="Q159" s="24">
        <f t="shared" ref="Q159:Q161" si="275">IF(F159=0,"",(P159*I159))</f>
        <v>8714.2732359375004</v>
      </c>
      <c r="R159" s="123"/>
    </row>
    <row r="160" spans="1:18" ht="15.5" x14ac:dyDescent="0.35">
      <c r="A160" s="71" t="str">
        <f>IF(TRIM(G160)&lt;&gt;"",COUNTA(G$11:$G160)&amp;"","")</f>
        <v>85</v>
      </c>
      <c r="B160" s="304"/>
      <c r="C160" s="304"/>
      <c r="D160" s="34"/>
      <c r="E160" s="269" t="s">
        <v>621</v>
      </c>
      <c r="F160" s="270">
        <f>((F147+F148)*48/32+(F149+F150+F155+F156+F157)+(F151*15/32))*32*0.053</f>
        <v>1828.0033900000003</v>
      </c>
      <c r="G160" s="74" t="s">
        <v>211</v>
      </c>
      <c r="H160" s="22">
        <v>0.05</v>
      </c>
      <c r="I160" s="51">
        <f t="shared" si="271"/>
        <v>1919.4035595000003</v>
      </c>
      <c r="J160" s="23">
        <v>0.5</v>
      </c>
      <c r="K160" s="24">
        <f t="shared" ref="K160:K161" si="276">IF(F160=0,"",J160*I160)</f>
        <v>959.70177975000013</v>
      </c>
      <c r="L160" s="25">
        <f>$L$144</f>
        <v>76</v>
      </c>
      <c r="M160" s="26">
        <v>0.22</v>
      </c>
      <c r="N160" s="26">
        <f t="shared" si="272"/>
        <v>422.26878309000006</v>
      </c>
      <c r="O160" s="24">
        <f t="shared" si="273"/>
        <v>32092.427514840005</v>
      </c>
      <c r="P160" s="27">
        <f t="shared" si="274"/>
        <v>17.220000000000002</v>
      </c>
      <c r="Q160" s="24">
        <f t="shared" si="275"/>
        <v>33052.129294590006</v>
      </c>
      <c r="R160" s="123"/>
    </row>
    <row r="161" spans="1:18" ht="15.5" x14ac:dyDescent="0.35">
      <c r="A161" s="71" t="str">
        <f>IF(TRIM(G161)&lt;&gt;"",COUNTA(G$11:$G161)&amp;"","")</f>
        <v>86</v>
      </c>
      <c r="B161" s="305"/>
      <c r="C161" s="305"/>
      <c r="D161" s="34"/>
      <c r="E161" s="269" t="s">
        <v>622</v>
      </c>
      <c r="F161" s="270">
        <f>((F147+F148)*48/32+(F149+F150+F155+F156+F157)+(F151*15/32))*45</f>
        <v>48502.448437500003</v>
      </c>
      <c r="G161" s="74" t="s">
        <v>192</v>
      </c>
      <c r="H161" s="22">
        <v>0.05</v>
      </c>
      <c r="I161" s="51">
        <f t="shared" si="271"/>
        <v>50927.570859375002</v>
      </c>
      <c r="J161" s="23">
        <v>0.02</v>
      </c>
      <c r="K161" s="24">
        <f t="shared" si="276"/>
        <v>1018.5514171875001</v>
      </c>
      <c r="L161" s="25">
        <f>$L$144</f>
        <v>76</v>
      </c>
      <c r="M161" s="26">
        <v>1E-3</v>
      </c>
      <c r="N161" s="26">
        <f t="shared" si="272"/>
        <v>50.927570859375002</v>
      </c>
      <c r="O161" s="24">
        <f t="shared" si="273"/>
        <v>3870.4953853125003</v>
      </c>
      <c r="P161" s="27">
        <f t="shared" si="274"/>
        <v>9.6000000000000002E-2</v>
      </c>
      <c r="Q161" s="24">
        <f t="shared" si="275"/>
        <v>4889.0468025</v>
      </c>
      <c r="R161" s="123"/>
    </row>
    <row r="162" spans="1:18" x14ac:dyDescent="0.35">
      <c r="A162" s="71" t="str">
        <f>IF(TRIM(G162)&lt;&gt;"",COUNTA(G$11:$G162)&amp;"","")</f>
        <v/>
      </c>
      <c r="B162" s="72"/>
      <c r="C162" s="72"/>
      <c r="D162" s="34"/>
      <c r="E162" s="69"/>
      <c r="F162" s="73"/>
      <c r="G162" s="74"/>
      <c r="H162" s="22"/>
      <c r="I162" s="51"/>
      <c r="J162" s="23"/>
      <c r="K162" s="24"/>
      <c r="L162" s="25"/>
      <c r="M162" s="26"/>
      <c r="N162" s="26"/>
      <c r="O162" s="24"/>
      <c r="P162" s="27"/>
      <c r="Q162" s="24"/>
      <c r="R162" s="123"/>
    </row>
    <row r="163" spans="1:18" s="18" customFormat="1" ht="19.25" customHeight="1" x14ac:dyDescent="0.35">
      <c r="A163" s="71" t="str">
        <f>IF(TRIM(G163)&lt;&gt;"",COUNTA(G$11:$G163)&amp;"","")</f>
        <v/>
      </c>
      <c r="B163" s="33"/>
      <c r="C163" s="33"/>
      <c r="D163" s="207">
        <v>93013</v>
      </c>
      <c r="E163" s="205" t="s">
        <v>85</v>
      </c>
      <c r="F163" s="73"/>
      <c r="G163" s="74"/>
      <c r="H163" s="22" t="str">
        <f t="shared" ref="H163:H208" si="277">IF(F163=0,"",0)</f>
        <v/>
      </c>
      <c r="I163" s="51" t="str">
        <f t="shared" ref="I163:I209" si="278">IF(F163=0,"",F163+(F163*H163))</f>
        <v/>
      </c>
      <c r="J163" s="23" t="str">
        <f t="shared" ref="J163:J208" si="279">IF(F163=0,"",0)</f>
        <v/>
      </c>
      <c r="K163" s="24" t="str">
        <f t="shared" ref="K163:K209" si="280">IF(F163=0,"",J163*I163)</f>
        <v/>
      </c>
      <c r="L163" s="25" t="str">
        <f>IF(F163=0,"",L$144)</f>
        <v/>
      </c>
      <c r="M163" s="26" t="str">
        <f t="shared" ref="M163:M208" si="281">IF(F163=0,"",0)</f>
        <v/>
      </c>
      <c r="N163" s="26" t="str">
        <f t="shared" ref="N163:N209" si="282">IF(F163=0,"",M163*I163)</f>
        <v/>
      </c>
      <c r="O163" s="24" t="str">
        <f t="shared" ref="O163:O209" si="283">IF(F163=0,"",N163*L163)</f>
        <v/>
      </c>
      <c r="P163" s="27" t="str">
        <f t="shared" ref="P163:P209" si="284">IF(F163=0,"",(K163+O163)/I163)</f>
        <v/>
      </c>
      <c r="Q163" s="24" t="str">
        <f t="shared" ref="Q163:Q209" si="285">IF(F163=0,"",(P163*I163))</f>
        <v/>
      </c>
      <c r="R163" s="125"/>
    </row>
    <row r="164" spans="1:18" ht="29" x14ac:dyDescent="0.35">
      <c r="A164" s="71" t="str">
        <f>IF(TRIM(G164)&lt;&gt;"",COUNTA(G$11:$G164)&amp;"","")</f>
        <v>87</v>
      </c>
      <c r="B164" s="33" t="s">
        <v>630</v>
      </c>
      <c r="C164" s="33" t="s">
        <v>630</v>
      </c>
      <c r="D164" s="34"/>
      <c r="E164" s="69" t="s">
        <v>623</v>
      </c>
      <c r="F164" s="73">
        <v>816.3</v>
      </c>
      <c r="G164" s="74" t="s">
        <v>141</v>
      </c>
      <c r="H164" s="22">
        <v>0.1</v>
      </c>
      <c r="I164" s="51">
        <f t="shared" si="278"/>
        <v>897.93</v>
      </c>
      <c r="J164" s="23">
        <v>4.78</v>
      </c>
      <c r="K164" s="24">
        <f t="shared" si="280"/>
        <v>4292.1054000000004</v>
      </c>
      <c r="L164" s="25">
        <f t="shared" ref="L164" si="286">$L$144</f>
        <v>76</v>
      </c>
      <c r="M164" s="26">
        <v>0.109</v>
      </c>
      <c r="N164" s="26">
        <f t="shared" si="282"/>
        <v>97.874369999999999</v>
      </c>
      <c r="O164" s="24">
        <f t="shared" si="283"/>
        <v>7438.4521199999999</v>
      </c>
      <c r="P164" s="27">
        <f t="shared" si="284"/>
        <v>13.064000000000002</v>
      </c>
      <c r="Q164" s="24">
        <f t="shared" si="285"/>
        <v>11730.55752</v>
      </c>
      <c r="R164" s="123"/>
    </row>
    <row r="165" spans="1:18" x14ac:dyDescent="0.35">
      <c r="A165" s="71" t="str">
        <f>IF(TRIM(G165)&lt;&gt;"",COUNTA(G$11:$G165)&amp;"","")</f>
        <v/>
      </c>
      <c r="B165" s="72"/>
      <c r="C165" s="72"/>
      <c r="D165" s="34"/>
      <c r="E165" s="69"/>
      <c r="F165" s="73"/>
      <c r="G165" s="74"/>
      <c r="H165" s="22" t="str">
        <f t="shared" si="277"/>
        <v/>
      </c>
      <c r="I165" s="51" t="str">
        <f t="shared" si="278"/>
        <v/>
      </c>
      <c r="J165" s="23" t="str">
        <f t="shared" si="279"/>
        <v/>
      </c>
      <c r="K165" s="24" t="str">
        <f t="shared" si="280"/>
        <v/>
      </c>
      <c r="L165" s="25" t="str">
        <f>IF(F165=0,"",L$144)</f>
        <v/>
      </c>
      <c r="M165" s="26" t="str">
        <f t="shared" si="281"/>
        <v/>
      </c>
      <c r="N165" s="26" t="str">
        <f t="shared" si="282"/>
        <v/>
      </c>
      <c r="O165" s="24" t="str">
        <f t="shared" si="283"/>
        <v/>
      </c>
      <c r="P165" s="27" t="str">
        <f t="shared" si="284"/>
        <v/>
      </c>
      <c r="Q165" s="24" t="str">
        <f t="shared" si="285"/>
        <v/>
      </c>
      <c r="R165" s="123"/>
    </row>
    <row r="166" spans="1:18" s="18" customFormat="1" ht="19.25" customHeight="1" x14ac:dyDescent="0.35">
      <c r="A166" s="71" t="str">
        <f>IF(TRIM(G166)&lt;&gt;"",COUNTA(G$11:$G166)&amp;"","")</f>
        <v/>
      </c>
      <c r="B166" s="33"/>
      <c r="C166" s="33"/>
      <c r="D166" s="207" t="s">
        <v>161</v>
      </c>
      <c r="E166" s="205" t="s">
        <v>162</v>
      </c>
      <c r="F166" s="73"/>
      <c r="G166" s="74"/>
      <c r="H166" s="22" t="str">
        <f t="shared" ref="H166:H192" si="287">IF(F166=0,"",0)</f>
        <v/>
      </c>
      <c r="I166" s="51" t="str">
        <f t="shared" ref="I166:I192" si="288">IF(F166=0,"",F166+(F166*H166))</f>
        <v/>
      </c>
      <c r="J166" s="23" t="str">
        <f t="shared" ref="J166:J192" si="289">IF(F166=0,"",0)</f>
        <v/>
      </c>
      <c r="K166" s="24" t="str">
        <f t="shared" ref="K166:K192" si="290">IF(F166=0,"",J166*I166)</f>
        <v/>
      </c>
      <c r="L166" s="25" t="str">
        <f>IF(F166=0,"",L$144)</f>
        <v/>
      </c>
      <c r="M166" s="26" t="str">
        <f t="shared" ref="M166:M192" si="291">IF(F166=0,"",0)</f>
        <v/>
      </c>
      <c r="N166" s="26" t="str">
        <f t="shared" ref="N166:N192" si="292">IF(F166=0,"",M166*I166)</f>
        <v/>
      </c>
      <c r="O166" s="24" t="str">
        <f t="shared" ref="O166:O192" si="293">IF(F166=0,"",N166*L166)</f>
        <v/>
      </c>
      <c r="P166" s="27" t="str">
        <f t="shared" si="284"/>
        <v/>
      </c>
      <c r="Q166" s="24" t="str">
        <f t="shared" si="285"/>
        <v/>
      </c>
      <c r="R166" s="125"/>
    </row>
    <row r="167" spans="1:18" x14ac:dyDescent="0.35">
      <c r="A167" s="71" t="str">
        <f>IF(TRIM(G167)&lt;&gt;"",COUNTA(G$11:$G167)&amp;"","")</f>
        <v>88</v>
      </c>
      <c r="B167" s="303" t="s">
        <v>628</v>
      </c>
      <c r="C167" s="303" t="s">
        <v>628</v>
      </c>
      <c r="D167" s="34"/>
      <c r="E167" s="69" t="s">
        <v>308</v>
      </c>
      <c r="F167" s="73">
        <v>42.2</v>
      </c>
      <c r="G167" s="74" t="s">
        <v>154</v>
      </c>
      <c r="H167" s="22">
        <v>0.1</v>
      </c>
      <c r="I167" s="51">
        <f t="shared" si="288"/>
        <v>46.42</v>
      </c>
      <c r="J167" s="23">
        <v>10.5</v>
      </c>
      <c r="K167" s="24">
        <f t="shared" si="290"/>
        <v>487.41</v>
      </c>
      <c r="L167" s="25">
        <f>IF(F167=0,"",L$144)</f>
        <v>76</v>
      </c>
      <c r="M167" s="26">
        <v>0.12</v>
      </c>
      <c r="N167" s="26">
        <f t="shared" si="292"/>
        <v>5.5704000000000002</v>
      </c>
      <c r="O167" s="24">
        <f t="shared" si="293"/>
        <v>423.35040000000004</v>
      </c>
      <c r="P167" s="27">
        <f t="shared" si="284"/>
        <v>19.62</v>
      </c>
      <c r="Q167" s="24">
        <f t="shared" si="285"/>
        <v>910.76040000000012</v>
      </c>
      <c r="R167" s="123"/>
    </row>
    <row r="168" spans="1:18" x14ac:dyDescent="0.35">
      <c r="A168" s="71" t="str">
        <f>IF(TRIM(G168)&lt;&gt;"",COUNTA(G$11:$G168)&amp;"","")</f>
        <v>89</v>
      </c>
      <c r="B168" s="304"/>
      <c r="C168" s="304"/>
      <c r="D168" s="34"/>
      <c r="E168" s="69" t="s">
        <v>309</v>
      </c>
      <c r="F168" s="73">
        <v>111.4</v>
      </c>
      <c r="G168" s="74" t="s">
        <v>154</v>
      </c>
      <c r="H168" s="22">
        <v>0.1</v>
      </c>
      <c r="I168" s="51">
        <f t="shared" ref="I168:I170" si="294">IF(F168=0,"",F168+(F168*H168))</f>
        <v>122.54</v>
      </c>
      <c r="J168" s="23">
        <v>10.5</v>
      </c>
      <c r="K168" s="24">
        <f t="shared" ref="K168" si="295">IF(F168=0,"",J168*I168)</f>
        <v>1286.67</v>
      </c>
      <c r="L168" s="25">
        <f>IF(F168=0,"",L$144)</f>
        <v>76</v>
      </c>
      <c r="M168" s="26">
        <v>0.12</v>
      </c>
      <c r="N168" s="26">
        <f t="shared" ref="N168:N170" si="296">IF(F168=0,"",M168*I168)</f>
        <v>14.704800000000001</v>
      </c>
      <c r="O168" s="24">
        <f t="shared" ref="O168:O170" si="297">IF(F168=0,"",N168*L168)</f>
        <v>1117.5648000000001</v>
      </c>
      <c r="P168" s="27">
        <f t="shared" ref="P168:P170" si="298">IF(F168=0,"",(K168+O168)/I168)</f>
        <v>19.62</v>
      </c>
      <c r="Q168" s="24">
        <f t="shared" ref="Q168:Q170" si="299">IF(F168=0,"",(P168*I168))</f>
        <v>2404.2348000000002</v>
      </c>
      <c r="R168" s="123"/>
    </row>
    <row r="169" spans="1:18" x14ac:dyDescent="0.35">
      <c r="A169" s="71" t="str">
        <f>IF(TRIM(G169)&lt;&gt;"",COUNTA(G$11:$G169)&amp;"","")</f>
        <v>90</v>
      </c>
      <c r="B169" s="304"/>
      <c r="C169" s="304"/>
      <c r="D169" s="34"/>
      <c r="E169" s="69" t="s">
        <v>633</v>
      </c>
      <c r="F169" s="73">
        <v>13.03</v>
      </c>
      <c r="G169" s="74" t="s">
        <v>154</v>
      </c>
      <c r="H169" s="22">
        <v>0.1</v>
      </c>
      <c r="I169" s="51">
        <f t="shared" si="294"/>
        <v>14.332999999999998</v>
      </c>
      <c r="J169" s="23">
        <v>2.5499999999999998</v>
      </c>
      <c r="K169" s="24">
        <f t="shared" ref="K169:K170" si="300">IF(F169=0,"",J169*I169)</f>
        <v>36.54914999999999</v>
      </c>
      <c r="L169" s="25">
        <f t="shared" ref="L169:L170" si="301">IF(F169=0,"",L$144)</f>
        <v>76</v>
      </c>
      <c r="M169" s="26">
        <v>0.03</v>
      </c>
      <c r="N169" s="26">
        <f t="shared" si="296"/>
        <v>0.42998999999999993</v>
      </c>
      <c r="O169" s="24">
        <f t="shared" si="297"/>
        <v>32.679239999999993</v>
      </c>
      <c r="P169" s="27">
        <f t="shared" si="298"/>
        <v>4.83</v>
      </c>
      <c r="Q169" s="24">
        <f t="shared" si="299"/>
        <v>69.22838999999999</v>
      </c>
      <c r="R169" s="123"/>
    </row>
    <row r="170" spans="1:18" x14ac:dyDescent="0.35">
      <c r="A170" s="71" t="str">
        <f>IF(TRIM(G170)&lt;&gt;"",COUNTA(G$11:$G170)&amp;"","")</f>
        <v>91</v>
      </c>
      <c r="B170" s="305"/>
      <c r="C170" s="305"/>
      <c r="D170" s="34"/>
      <c r="E170" s="69" t="s">
        <v>310</v>
      </c>
      <c r="F170" s="73">
        <v>15.9</v>
      </c>
      <c r="G170" s="74" t="s">
        <v>154</v>
      </c>
      <c r="H170" s="22">
        <v>0.1</v>
      </c>
      <c r="I170" s="51">
        <f t="shared" si="294"/>
        <v>17.490000000000002</v>
      </c>
      <c r="J170" s="23">
        <v>2.5499999999999998</v>
      </c>
      <c r="K170" s="24">
        <f t="shared" si="300"/>
        <v>44.599499999999999</v>
      </c>
      <c r="L170" s="25">
        <f t="shared" si="301"/>
        <v>76</v>
      </c>
      <c r="M170" s="26">
        <v>0.03</v>
      </c>
      <c r="N170" s="26">
        <f t="shared" si="296"/>
        <v>0.52470000000000006</v>
      </c>
      <c r="O170" s="24">
        <f t="shared" si="297"/>
        <v>39.877200000000002</v>
      </c>
      <c r="P170" s="27">
        <f t="shared" si="298"/>
        <v>4.8299999999999992</v>
      </c>
      <c r="Q170" s="24">
        <f t="shared" si="299"/>
        <v>84.476699999999994</v>
      </c>
      <c r="R170" s="123"/>
    </row>
    <row r="171" spans="1:18" x14ac:dyDescent="0.35">
      <c r="A171" s="71" t="str">
        <f>IF(TRIM(G171)&lt;&gt;"",COUNTA(G$11:$G171)&amp;"","")</f>
        <v/>
      </c>
      <c r="B171" s="72"/>
      <c r="C171" s="72"/>
      <c r="D171" s="34"/>
      <c r="E171" s="69"/>
      <c r="F171" s="73"/>
      <c r="G171" s="74"/>
      <c r="H171" s="22" t="str">
        <f t="shared" si="287"/>
        <v/>
      </c>
      <c r="I171" s="51" t="str">
        <f t="shared" si="288"/>
        <v/>
      </c>
      <c r="J171" s="23" t="str">
        <f t="shared" si="289"/>
        <v/>
      </c>
      <c r="K171" s="24" t="str">
        <f t="shared" si="290"/>
        <v/>
      </c>
      <c r="L171" s="25" t="str">
        <f>IF(F171=0,"",L$144)</f>
        <v/>
      </c>
      <c r="M171" s="26" t="str">
        <f t="shared" si="291"/>
        <v/>
      </c>
      <c r="N171" s="26" t="str">
        <f t="shared" si="292"/>
        <v/>
      </c>
      <c r="O171" s="24" t="str">
        <f t="shared" si="293"/>
        <v/>
      </c>
      <c r="P171" s="27" t="str">
        <f t="shared" si="284"/>
        <v/>
      </c>
      <c r="Q171" s="24" t="str">
        <f t="shared" si="285"/>
        <v/>
      </c>
      <c r="R171" s="123"/>
    </row>
    <row r="172" spans="1:18" s="18" customFormat="1" ht="19.25" customHeight="1" x14ac:dyDescent="0.35">
      <c r="A172" s="71" t="str">
        <f>IF(TRIM(G172)&lt;&gt;"",COUNTA(G$11:$G172)&amp;"","")</f>
        <v/>
      </c>
      <c r="B172" s="33"/>
      <c r="C172" s="33"/>
      <c r="D172" s="207" t="s">
        <v>163</v>
      </c>
      <c r="E172" s="205" t="s">
        <v>164</v>
      </c>
      <c r="F172" s="73"/>
      <c r="G172" s="74"/>
      <c r="H172" s="22" t="str">
        <f t="shared" si="287"/>
        <v/>
      </c>
      <c r="I172" s="51" t="str">
        <f t="shared" si="288"/>
        <v/>
      </c>
      <c r="J172" s="23" t="str">
        <f t="shared" si="289"/>
        <v/>
      </c>
      <c r="K172" s="24" t="str">
        <f t="shared" si="290"/>
        <v/>
      </c>
      <c r="L172" s="25" t="str">
        <f>IF(F172=0,"",L$144)</f>
        <v/>
      </c>
      <c r="M172" s="26" t="str">
        <f t="shared" si="291"/>
        <v/>
      </c>
      <c r="N172" s="26" t="str">
        <f t="shared" si="292"/>
        <v/>
      </c>
      <c r="O172" s="24" t="str">
        <f t="shared" si="293"/>
        <v/>
      </c>
      <c r="P172" s="27" t="str">
        <f t="shared" si="284"/>
        <v/>
      </c>
      <c r="Q172" s="24" t="str">
        <f t="shared" si="285"/>
        <v/>
      </c>
      <c r="R172" s="125"/>
    </row>
    <row r="173" spans="1:18" x14ac:dyDescent="0.35">
      <c r="A173" s="71" t="str">
        <f>IF(TRIM(G173)&lt;&gt;"",COUNTA(G$11:$G173)&amp;"","")</f>
        <v>92</v>
      </c>
      <c r="B173" s="303" t="s">
        <v>628</v>
      </c>
      <c r="C173" s="303" t="s">
        <v>628</v>
      </c>
      <c r="D173" s="34"/>
      <c r="E173" s="69" t="s">
        <v>277</v>
      </c>
      <c r="F173" s="73">
        <v>1275.93</v>
      </c>
      <c r="G173" s="74" t="s">
        <v>141</v>
      </c>
      <c r="H173" s="22">
        <v>0.1</v>
      </c>
      <c r="I173" s="51">
        <f t="shared" si="288"/>
        <v>1403.5230000000001</v>
      </c>
      <c r="J173" s="23">
        <v>5.12</v>
      </c>
      <c r="K173" s="24">
        <f t="shared" si="290"/>
        <v>7186.0377600000011</v>
      </c>
      <c r="L173" s="25">
        <f>IF(F173=0,"",L$144)</f>
        <v>76</v>
      </c>
      <c r="M173" s="26">
        <v>4.2000000000000003E-2</v>
      </c>
      <c r="N173" s="26">
        <f t="shared" si="292"/>
        <v>58.947966000000008</v>
      </c>
      <c r="O173" s="24">
        <f t="shared" si="293"/>
        <v>4480.0454160000008</v>
      </c>
      <c r="P173" s="27">
        <f t="shared" si="284"/>
        <v>8.3120000000000012</v>
      </c>
      <c r="Q173" s="24">
        <f t="shared" si="285"/>
        <v>11666.083176000002</v>
      </c>
      <c r="R173" s="123"/>
    </row>
    <row r="174" spans="1:18" x14ac:dyDescent="0.35">
      <c r="A174" s="71" t="str">
        <f>IF(TRIM(G174)&lt;&gt;"",COUNTA(G$11:$G174)&amp;"","")</f>
        <v>93</v>
      </c>
      <c r="B174" s="304"/>
      <c r="C174" s="304"/>
      <c r="D174" s="34"/>
      <c r="E174" s="69" t="s">
        <v>278</v>
      </c>
      <c r="F174" s="73">
        <v>421.59</v>
      </c>
      <c r="G174" s="74" t="s">
        <v>141</v>
      </c>
      <c r="H174" s="22">
        <v>0.1</v>
      </c>
      <c r="I174" s="51">
        <f t="shared" ref="I174:I180" si="302">IF(F174=0,"",F174+(F174*H174))</f>
        <v>463.74899999999997</v>
      </c>
      <c r="J174" s="23">
        <v>5.12</v>
      </c>
      <c r="K174" s="24">
        <f t="shared" ref="K174:K180" si="303">IF(F174=0,"",J174*I174)</f>
        <v>2374.3948799999998</v>
      </c>
      <c r="L174" s="25">
        <f t="shared" ref="L174:L180" si="304">IF(F174=0,"",L$144)</f>
        <v>76</v>
      </c>
      <c r="M174" s="26">
        <v>4.2000000000000003E-2</v>
      </c>
      <c r="N174" s="26">
        <f t="shared" ref="N174:N180" si="305">IF(F174=0,"",M174*I174)</f>
        <v>19.477457999999999</v>
      </c>
      <c r="O174" s="24">
        <f t="shared" ref="O174:O180" si="306">IF(F174=0,"",N174*L174)</f>
        <v>1480.2868079999998</v>
      </c>
      <c r="P174" s="27">
        <f t="shared" ref="P174:P180" si="307">IF(F174=0,"",(K174+O174)/I174)</f>
        <v>8.3119999999999994</v>
      </c>
      <c r="Q174" s="24">
        <f t="shared" ref="Q174:Q180" si="308">IF(F174=0,"",(P174*I174))</f>
        <v>3854.6816879999997</v>
      </c>
      <c r="R174" s="123"/>
    </row>
    <row r="175" spans="1:18" x14ac:dyDescent="0.35">
      <c r="A175" s="71" t="str">
        <f>IF(TRIM(G175)&lt;&gt;"",COUNTA(G$11:$G175)&amp;"","")</f>
        <v>94</v>
      </c>
      <c r="B175" s="304"/>
      <c r="C175" s="304"/>
      <c r="D175" s="34"/>
      <c r="E175" s="69" t="s">
        <v>279</v>
      </c>
      <c r="F175" s="73">
        <v>590.5</v>
      </c>
      <c r="G175" s="74" t="s">
        <v>141</v>
      </c>
      <c r="H175" s="22">
        <v>0.1</v>
      </c>
      <c r="I175" s="51">
        <f t="shared" si="302"/>
        <v>649.54999999999995</v>
      </c>
      <c r="J175" s="23">
        <v>5.12</v>
      </c>
      <c r="K175" s="24">
        <f t="shared" si="303"/>
        <v>3325.6959999999999</v>
      </c>
      <c r="L175" s="25">
        <f t="shared" si="304"/>
        <v>76</v>
      </c>
      <c r="M175" s="26">
        <v>4.2000000000000003E-2</v>
      </c>
      <c r="N175" s="26">
        <f t="shared" si="305"/>
        <v>27.281099999999999</v>
      </c>
      <c r="O175" s="24">
        <f t="shared" si="306"/>
        <v>2073.3635999999997</v>
      </c>
      <c r="P175" s="27">
        <f t="shared" si="307"/>
        <v>8.3119999999999994</v>
      </c>
      <c r="Q175" s="24">
        <f t="shared" si="308"/>
        <v>5399.0595999999996</v>
      </c>
      <c r="R175" s="123"/>
    </row>
    <row r="176" spans="1:18" x14ac:dyDescent="0.35">
      <c r="A176" s="71" t="str">
        <f>IF(TRIM(G176)&lt;&gt;"",COUNTA(G$11:$G176)&amp;"","")</f>
        <v>95</v>
      </c>
      <c r="B176" s="304"/>
      <c r="C176" s="304"/>
      <c r="D176" s="34"/>
      <c r="E176" s="69" t="s">
        <v>280</v>
      </c>
      <c r="F176" s="73">
        <v>531.15</v>
      </c>
      <c r="G176" s="74" t="s">
        <v>141</v>
      </c>
      <c r="H176" s="22">
        <v>0.1</v>
      </c>
      <c r="I176" s="51">
        <f t="shared" si="302"/>
        <v>584.26499999999999</v>
      </c>
      <c r="J176" s="23">
        <v>5.12</v>
      </c>
      <c r="K176" s="24">
        <f t="shared" si="303"/>
        <v>2991.4367999999999</v>
      </c>
      <c r="L176" s="25">
        <f t="shared" si="304"/>
        <v>76</v>
      </c>
      <c r="M176" s="26">
        <v>4.2000000000000003E-2</v>
      </c>
      <c r="N176" s="26">
        <f t="shared" si="305"/>
        <v>24.53913</v>
      </c>
      <c r="O176" s="24">
        <f t="shared" si="306"/>
        <v>1864.97388</v>
      </c>
      <c r="P176" s="27">
        <f t="shared" si="307"/>
        <v>8.3119999999999994</v>
      </c>
      <c r="Q176" s="24">
        <f t="shared" si="308"/>
        <v>4856.41068</v>
      </c>
      <c r="R176" s="123"/>
    </row>
    <row r="177" spans="1:18" x14ac:dyDescent="0.35">
      <c r="A177" s="71" t="str">
        <f>IF(TRIM(G177)&lt;&gt;"",COUNTA(G$11:$G177)&amp;"","")</f>
        <v>96</v>
      </c>
      <c r="B177" s="304"/>
      <c r="C177" s="304"/>
      <c r="D177" s="34"/>
      <c r="E177" s="69" t="s">
        <v>281</v>
      </c>
      <c r="F177" s="73">
        <v>582.9</v>
      </c>
      <c r="G177" s="74" t="s">
        <v>141</v>
      </c>
      <c r="H177" s="22">
        <v>0.1</v>
      </c>
      <c r="I177" s="51">
        <f t="shared" si="302"/>
        <v>641.18999999999994</v>
      </c>
      <c r="J177" s="23">
        <v>5.12</v>
      </c>
      <c r="K177" s="24">
        <f t="shared" si="303"/>
        <v>3282.8927999999996</v>
      </c>
      <c r="L177" s="25">
        <f t="shared" si="304"/>
        <v>76</v>
      </c>
      <c r="M177" s="26">
        <v>4.2000000000000003E-2</v>
      </c>
      <c r="N177" s="26">
        <f t="shared" si="305"/>
        <v>26.92998</v>
      </c>
      <c r="O177" s="24">
        <f t="shared" si="306"/>
        <v>2046.67848</v>
      </c>
      <c r="P177" s="27">
        <f t="shared" si="307"/>
        <v>8.3120000000000012</v>
      </c>
      <c r="Q177" s="24">
        <f t="shared" si="308"/>
        <v>5329.5712800000001</v>
      </c>
      <c r="R177" s="123"/>
    </row>
    <row r="178" spans="1:18" x14ac:dyDescent="0.35">
      <c r="A178" s="71" t="str">
        <f>IF(TRIM(G178)&lt;&gt;"",COUNTA(G$11:$G178)&amp;"","")</f>
        <v>97</v>
      </c>
      <c r="B178" s="304"/>
      <c r="C178" s="304"/>
      <c r="D178" s="34"/>
      <c r="E178" s="69" t="s">
        <v>282</v>
      </c>
      <c r="F178" s="73">
        <v>184.8</v>
      </c>
      <c r="G178" s="74" t="s">
        <v>141</v>
      </c>
      <c r="H178" s="22">
        <v>0.1</v>
      </c>
      <c r="I178" s="51">
        <f t="shared" si="302"/>
        <v>203.28</v>
      </c>
      <c r="J178" s="23">
        <v>5.12</v>
      </c>
      <c r="K178" s="24">
        <f t="shared" si="303"/>
        <v>1040.7936</v>
      </c>
      <c r="L178" s="25">
        <f t="shared" si="304"/>
        <v>76</v>
      </c>
      <c r="M178" s="26">
        <v>4.2000000000000003E-2</v>
      </c>
      <c r="N178" s="26">
        <f t="shared" si="305"/>
        <v>8.5377600000000005</v>
      </c>
      <c r="O178" s="24">
        <f t="shared" si="306"/>
        <v>648.86976000000004</v>
      </c>
      <c r="P178" s="27">
        <f t="shared" si="307"/>
        <v>8.3119999999999994</v>
      </c>
      <c r="Q178" s="24">
        <f t="shared" si="308"/>
        <v>1689.6633599999998</v>
      </c>
      <c r="R178" s="123"/>
    </row>
    <row r="179" spans="1:18" x14ac:dyDescent="0.35">
      <c r="A179" s="71" t="str">
        <f>IF(TRIM(G179)&lt;&gt;"",COUNTA(G$11:$G179)&amp;"","")</f>
        <v>98</v>
      </c>
      <c r="B179" s="304"/>
      <c r="C179" s="304"/>
      <c r="D179" s="34"/>
      <c r="E179" s="69" t="s">
        <v>283</v>
      </c>
      <c r="F179" s="73">
        <v>865.5</v>
      </c>
      <c r="G179" s="74" t="s">
        <v>141</v>
      </c>
      <c r="H179" s="22">
        <v>0.1</v>
      </c>
      <c r="I179" s="51">
        <f t="shared" si="302"/>
        <v>952.05</v>
      </c>
      <c r="J179" s="23">
        <v>5.12</v>
      </c>
      <c r="K179" s="24">
        <f t="shared" si="303"/>
        <v>4874.4960000000001</v>
      </c>
      <c r="L179" s="25">
        <f t="shared" si="304"/>
        <v>76</v>
      </c>
      <c r="M179" s="26">
        <v>4.2000000000000003E-2</v>
      </c>
      <c r="N179" s="26">
        <f t="shared" si="305"/>
        <v>39.9861</v>
      </c>
      <c r="O179" s="24">
        <f t="shared" si="306"/>
        <v>3038.9436000000001</v>
      </c>
      <c r="P179" s="27">
        <f t="shared" si="307"/>
        <v>8.3119999999999994</v>
      </c>
      <c r="Q179" s="24">
        <f t="shared" si="308"/>
        <v>7913.4395999999988</v>
      </c>
      <c r="R179" s="123"/>
    </row>
    <row r="180" spans="1:18" x14ac:dyDescent="0.35">
      <c r="A180" s="71" t="str">
        <f>IF(TRIM(G180)&lt;&gt;"",COUNTA(G$11:$G180)&amp;"","")</f>
        <v>99</v>
      </c>
      <c r="B180" s="304"/>
      <c r="C180" s="304"/>
      <c r="D180" s="34"/>
      <c r="E180" s="69" t="s">
        <v>284</v>
      </c>
      <c r="F180" s="73">
        <v>170.95</v>
      </c>
      <c r="G180" s="74" t="s">
        <v>141</v>
      </c>
      <c r="H180" s="22">
        <v>0.1</v>
      </c>
      <c r="I180" s="51">
        <f t="shared" si="302"/>
        <v>188.04499999999999</v>
      </c>
      <c r="J180" s="23">
        <v>5.12</v>
      </c>
      <c r="K180" s="24">
        <f t="shared" si="303"/>
        <v>962.79039999999998</v>
      </c>
      <c r="L180" s="25">
        <f t="shared" si="304"/>
        <v>76</v>
      </c>
      <c r="M180" s="26">
        <v>4.2000000000000003E-2</v>
      </c>
      <c r="N180" s="26">
        <f t="shared" si="305"/>
        <v>7.8978900000000003</v>
      </c>
      <c r="O180" s="24">
        <f t="shared" si="306"/>
        <v>600.23964000000001</v>
      </c>
      <c r="P180" s="27">
        <f t="shared" si="307"/>
        <v>8.3120000000000012</v>
      </c>
      <c r="Q180" s="24">
        <f t="shared" si="308"/>
        <v>1563.0300400000001</v>
      </c>
      <c r="R180" s="123"/>
    </row>
    <row r="181" spans="1:18" x14ac:dyDescent="0.35">
      <c r="A181" s="71" t="str">
        <f>IF(TRIM(G181)&lt;&gt;"",COUNTA(G$11:$G181)&amp;"","")</f>
        <v/>
      </c>
      <c r="B181" s="304"/>
      <c r="C181" s="304"/>
      <c r="D181" s="34"/>
      <c r="E181" s="69"/>
      <c r="F181" s="73"/>
      <c r="G181" s="74"/>
      <c r="H181" s="22"/>
      <c r="I181" s="51"/>
      <c r="J181" s="23"/>
      <c r="K181" s="24"/>
      <c r="L181" s="25"/>
      <c r="M181" s="26"/>
      <c r="N181" s="26"/>
      <c r="O181" s="24"/>
      <c r="P181" s="27"/>
      <c r="Q181" s="24"/>
      <c r="R181" s="123"/>
    </row>
    <row r="182" spans="1:18" x14ac:dyDescent="0.35">
      <c r="A182" s="71" t="str">
        <f>IF(TRIM(G182)&lt;&gt;"",COUNTA(G$11:$G182)&amp;"","")</f>
        <v/>
      </c>
      <c r="B182" s="304"/>
      <c r="C182" s="304"/>
      <c r="D182" s="34"/>
      <c r="E182" s="205" t="s">
        <v>293</v>
      </c>
      <c r="F182" s="73"/>
      <c r="G182" s="74"/>
      <c r="H182" s="22"/>
      <c r="I182" s="51"/>
      <c r="J182" s="23"/>
      <c r="K182" s="24"/>
      <c r="L182" s="25"/>
      <c r="M182" s="26"/>
      <c r="N182" s="26"/>
      <c r="O182" s="24"/>
      <c r="P182" s="27"/>
      <c r="Q182" s="24"/>
      <c r="R182" s="123"/>
    </row>
    <row r="183" spans="1:18" x14ac:dyDescent="0.35">
      <c r="A183" s="71" t="str">
        <f>IF(TRIM(G183)&lt;&gt;"",COUNTA(G$11:$G183)&amp;"","")</f>
        <v>100</v>
      </c>
      <c r="B183" s="304"/>
      <c r="C183" s="304"/>
      <c r="D183" s="34"/>
      <c r="E183" s="69" t="s">
        <v>285</v>
      </c>
      <c r="F183" s="73">
        <v>225.04</v>
      </c>
      <c r="G183" s="74" t="s">
        <v>154</v>
      </c>
      <c r="H183" s="22">
        <v>0.1</v>
      </c>
      <c r="I183" s="51">
        <f t="shared" si="288"/>
        <v>247.54399999999998</v>
      </c>
      <c r="J183" s="23">
        <v>2.25</v>
      </c>
      <c r="K183" s="24">
        <f t="shared" si="290"/>
        <v>556.97399999999993</v>
      </c>
      <c r="L183" s="25">
        <f>IF(F183=0,"",L$144)</f>
        <v>76</v>
      </c>
      <c r="M183" s="26">
        <v>2.8000000000000001E-2</v>
      </c>
      <c r="N183" s="26">
        <f t="shared" si="292"/>
        <v>6.9312319999999996</v>
      </c>
      <c r="O183" s="24">
        <f t="shared" si="293"/>
        <v>526.77363200000002</v>
      </c>
      <c r="P183" s="27">
        <f t="shared" si="284"/>
        <v>4.378000000000001</v>
      </c>
      <c r="Q183" s="24">
        <f t="shared" si="285"/>
        <v>1083.7476320000001</v>
      </c>
      <c r="R183" s="123"/>
    </row>
    <row r="184" spans="1:18" x14ac:dyDescent="0.35">
      <c r="A184" s="71" t="str">
        <f>IF(TRIM(G184)&lt;&gt;"",COUNTA(G$11:$G184)&amp;"","")</f>
        <v>101</v>
      </c>
      <c r="B184" s="304"/>
      <c r="C184" s="304"/>
      <c r="D184" s="34"/>
      <c r="E184" s="69" t="s">
        <v>286</v>
      </c>
      <c r="F184" s="73">
        <v>171.68</v>
      </c>
      <c r="G184" s="74" t="s">
        <v>154</v>
      </c>
      <c r="H184" s="22">
        <v>0.1</v>
      </c>
      <c r="I184" s="51">
        <f t="shared" ref="I184:I190" si="309">IF(F184=0,"",F184+(F184*H184))</f>
        <v>188.84800000000001</v>
      </c>
      <c r="J184" s="23">
        <v>2.25</v>
      </c>
      <c r="K184" s="24">
        <f t="shared" ref="K184:K190" si="310">IF(F184=0,"",J184*I184)</f>
        <v>424.90800000000002</v>
      </c>
      <c r="L184" s="25">
        <f t="shared" ref="L184:L190" si="311">IF(F184=0,"",L$144)</f>
        <v>76</v>
      </c>
      <c r="M184" s="26">
        <v>2.8000000000000001E-2</v>
      </c>
      <c r="N184" s="26">
        <f t="shared" ref="N184:N190" si="312">IF(F184=0,"",M184*I184)</f>
        <v>5.2877440000000009</v>
      </c>
      <c r="O184" s="24">
        <f t="shared" ref="O184:O190" si="313">IF(F184=0,"",N184*L184)</f>
        <v>401.86854400000004</v>
      </c>
      <c r="P184" s="27">
        <f t="shared" ref="P184:P190" si="314">IF(F184=0,"",(K184+O184)/I184)</f>
        <v>4.3780000000000001</v>
      </c>
      <c r="Q184" s="24">
        <f t="shared" ref="Q184:Q190" si="315">IF(F184=0,"",(P184*I184))</f>
        <v>826.77654400000006</v>
      </c>
      <c r="R184" s="123"/>
    </row>
    <row r="185" spans="1:18" x14ac:dyDescent="0.35">
      <c r="A185" s="71" t="str">
        <f>IF(TRIM(G185)&lt;&gt;"",COUNTA(G$11:$G185)&amp;"","")</f>
        <v>102</v>
      </c>
      <c r="B185" s="304"/>
      <c r="C185" s="304"/>
      <c r="D185" s="34"/>
      <c r="E185" s="69" t="s">
        <v>287</v>
      </c>
      <c r="F185" s="73">
        <v>211.93</v>
      </c>
      <c r="G185" s="74" t="s">
        <v>154</v>
      </c>
      <c r="H185" s="22">
        <v>0.1</v>
      </c>
      <c r="I185" s="51">
        <f t="shared" si="309"/>
        <v>233.12300000000002</v>
      </c>
      <c r="J185" s="23">
        <v>2.25</v>
      </c>
      <c r="K185" s="24">
        <f t="shared" si="310"/>
        <v>524.52674999999999</v>
      </c>
      <c r="L185" s="25">
        <f t="shared" si="311"/>
        <v>76</v>
      </c>
      <c r="M185" s="26">
        <v>2.8000000000000001E-2</v>
      </c>
      <c r="N185" s="26">
        <f t="shared" si="312"/>
        <v>6.5274440000000009</v>
      </c>
      <c r="O185" s="24">
        <f t="shared" si="313"/>
        <v>496.08574400000009</v>
      </c>
      <c r="P185" s="27">
        <f t="shared" si="314"/>
        <v>4.3780000000000001</v>
      </c>
      <c r="Q185" s="24">
        <f t="shared" si="315"/>
        <v>1020.6124940000001</v>
      </c>
      <c r="R185" s="123"/>
    </row>
    <row r="186" spans="1:18" x14ac:dyDescent="0.35">
      <c r="A186" s="71" t="str">
        <f>IF(TRIM(G186)&lt;&gt;"",COUNTA(G$11:$G186)&amp;"","")</f>
        <v>103</v>
      </c>
      <c r="B186" s="304"/>
      <c r="C186" s="304"/>
      <c r="D186" s="34"/>
      <c r="E186" s="69" t="s">
        <v>288</v>
      </c>
      <c r="F186" s="73">
        <v>180.77</v>
      </c>
      <c r="G186" s="74" t="s">
        <v>154</v>
      </c>
      <c r="H186" s="22">
        <v>0.1</v>
      </c>
      <c r="I186" s="51">
        <f t="shared" si="309"/>
        <v>198.84700000000001</v>
      </c>
      <c r="J186" s="23">
        <v>2.25</v>
      </c>
      <c r="K186" s="24">
        <f t="shared" si="310"/>
        <v>447.40575000000001</v>
      </c>
      <c r="L186" s="25">
        <f t="shared" si="311"/>
        <v>76</v>
      </c>
      <c r="M186" s="26">
        <v>2.8000000000000001E-2</v>
      </c>
      <c r="N186" s="26">
        <f t="shared" si="312"/>
        <v>5.5677160000000008</v>
      </c>
      <c r="O186" s="24">
        <f t="shared" si="313"/>
        <v>423.14641600000004</v>
      </c>
      <c r="P186" s="27">
        <f t="shared" si="314"/>
        <v>4.3780000000000001</v>
      </c>
      <c r="Q186" s="24">
        <f t="shared" si="315"/>
        <v>870.55216600000006</v>
      </c>
      <c r="R186" s="123"/>
    </row>
    <row r="187" spans="1:18" x14ac:dyDescent="0.35">
      <c r="A187" s="71" t="str">
        <f>IF(TRIM(G187)&lt;&gt;"",COUNTA(G$11:$G187)&amp;"","")</f>
        <v>104</v>
      </c>
      <c r="B187" s="304"/>
      <c r="C187" s="304"/>
      <c r="D187" s="34"/>
      <c r="E187" s="69" t="s">
        <v>289</v>
      </c>
      <c r="F187" s="73">
        <v>187.05</v>
      </c>
      <c r="G187" s="74" t="s">
        <v>154</v>
      </c>
      <c r="H187" s="22">
        <v>0.1</v>
      </c>
      <c r="I187" s="51">
        <f t="shared" si="309"/>
        <v>205.75500000000002</v>
      </c>
      <c r="J187" s="23">
        <v>2.25</v>
      </c>
      <c r="K187" s="24">
        <f t="shared" si="310"/>
        <v>462.94875000000008</v>
      </c>
      <c r="L187" s="25">
        <f t="shared" si="311"/>
        <v>76</v>
      </c>
      <c r="M187" s="26">
        <v>2.8000000000000001E-2</v>
      </c>
      <c r="N187" s="26">
        <f t="shared" si="312"/>
        <v>5.761140000000001</v>
      </c>
      <c r="O187" s="24">
        <f t="shared" si="313"/>
        <v>437.84664000000009</v>
      </c>
      <c r="P187" s="27">
        <f t="shared" si="314"/>
        <v>4.378000000000001</v>
      </c>
      <c r="Q187" s="24">
        <f t="shared" si="315"/>
        <v>900.79539000000034</v>
      </c>
      <c r="R187" s="123"/>
    </row>
    <row r="188" spans="1:18" x14ac:dyDescent="0.35">
      <c r="A188" s="71" t="str">
        <f>IF(TRIM(G188)&lt;&gt;"",COUNTA(G$11:$G188)&amp;"","")</f>
        <v>105</v>
      </c>
      <c r="B188" s="304"/>
      <c r="C188" s="304"/>
      <c r="D188" s="34"/>
      <c r="E188" s="69" t="s">
        <v>290</v>
      </c>
      <c r="F188" s="73">
        <v>131.55000000000001</v>
      </c>
      <c r="G188" s="74" t="s">
        <v>154</v>
      </c>
      <c r="H188" s="22">
        <v>0.1</v>
      </c>
      <c r="I188" s="51">
        <f t="shared" si="309"/>
        <v>144.70500000000001</v>
      </c>
      <c r="J188" s="23">
        <v>2.25</v>
      </c>
      <c r="K188" s="24">
        <f t="shared" si="310"/>
        <v>325.58625000000001</v>
      </c>
      <c r="L188" s="25">
        <f t="shared" si="311"/>
        <v>76</v>
      </c>
      <c r="M188" s="26">
        <v>2.8000000000000001E-2</v>
      </c>
      <c r="N188" s="26">
        <f t="shared" si="312"/>
        <v>4.0517400000000006</v>
      </c>
      <c r="O188" s="24">
        <f t="shared" si="313"/>
        <v>307.93224000000004</v>
      </c>
      <c r="P188" s="27">
        <f t="shared" si="314"/>
        <v>4.3780000000000001</v>
      </c>
      <c r="Q188" s="24">
        <f t="shared" si="315"/>
        <v>633.51849000000004</v>
      </c>
      <c r="R188" s="123"/>
    </row>
    <row r="189" spans="1:18" x14ac:dyDescent="0.35">
      <c r="A189" s="71" t="str">
        <f>IF(TRIM(G189)&lt;&gt;"",COUNTA(G$11:$G189)&amp;"","")</f>
        <v>106</v>
      </c>
      <c r="B189" s="304"/>
      <c r="C189" s="304"/>
      <c r="D189" s="34"/>
      <c r="E189" s="69" t="s">
        <v>291</v>
      </c>
      <c r="F189" s="73">
        <v>254.1</v>
      </c>
      <c r="G189" s="74" t="s">
        <v>154</v>
      </c>
      <c r="H189" s="22">
        <v>0.1</v>
      </c>
      <c r="I189" s="51">
        <f t="shared" si="309"/>
        <v>279.51</v>
      </c>
      <c r="J189" s="23">
        <v>2.25</v>
      </c>
      <c r="K189" s="24">
        <f t="shared" si="310"/>
        <v>628.89750000000004</v>
      </c>
      <c r="L189" s="25">
        <f t="shared" si="311"/>
        <v>76</v>
      </c>
      <c r="M189" s="26">
        <v>2.8000000000000001E-2</v>
      </c>
      <c r="N189" s="26">
        <f t="shared" si="312"/>
        <v>7.8262799999999997</v>
      </c>
      <c r="O189" s="24">
        <f t="shared" si="313"/>
        <v>594.79728</v>
      </c>
      <c r="P189" s="27">
        <f t="shared" si="314"/>
        <v>4.3780000000000001</v>
      </c>
      <c r="Q189" s="24">
        <f t="shared" si="315"/>
        <v>1223.69478</v>
      </c>
      <c r="R189" s="123"/>
    </row>
    <row r="190" spans="1:18" x14ac:dyDescent="0.35">
      <c r="A190" s="71" t="str">
        <f>IF(TRIM(G190)&lt;&gt;"",COUNTA(G$11:$G190)&amp;"","")</f>
        <v>107</v>
      </c>
      <c r="B190" s="304"/>
      <c r="C190" s="304"/>
      <c r="D190" s="34"/>
      <c r="E190" s="69" t="s">
        <v>292</v>
      </c>
      <c r="F190" s="73">
        <v>71.150000000000006</v>
      </c>
      <c r="G190" s="74" t="s">
        <v>154</v>
      </c>
      <c r="H190" s="22">
        <v>0.1</v>
      </c>
      <c r="I190" s="51">
        <f t="shared" si="309"/>
        <v>78.265000000000001</v>
      </c>
      <c r="J190" s="23">
        <v>2.25</v>
      </c>
      <c r="K190" s="24">
        <f t="shared" si="310"/>
        <v>176.09625</v>
      </c>
      <c r="L190" s="25">
        <f t="shared" si="311"/>
        <v>76</v>
      </c>
      <c r="M190" s="26">
        <v>2.8000000000000001E-2</v>
      </c>
      <c r="N190" s="26">
        <f t="shared" si="312"/>
        <v>2.1914199999999999</v>
      </c>
      <c r="O190" s="24">
        <f t="shared" si="313"/>
        <v>166.54792</v>
      </c>
      <c r="P190" s="27">
        <f t="shared" si="314"/>
        <v>4.3780000000000001</v>
      </c>
      <c r="Q190" s="24">
        <f t="shared" si="315"/>
        <v>342.64417000000003</v>
      </c>
      <c r="R190" s="123"/>
    </row>
    <row r="191" spans="1:18" x14ac:dyDescent="0.35">
      <c r="A191" s="71" t="str">
        <f>IF(TRIM(G191)&lt;&gt;"",COUNTA(G$11:$G191)&amp;"","")</f>
        <v/>
      </c>
      <c r="B191" s="305"/>
      <c r="C191" s="305"/>
      <c r="D191" s="34"/>
      <c r="E191" s="262" t="s">
        <v>294</v>
      </c>
      <c r="F191" s="73"/>
      <c r="G191" s="74"/>
      <c r="H191" s="22"/>
      <c r="I191" s="51"/>
      <c r="J191" s="23"/>
      <c r="K191" s="24"/>
      <c r="L191" s="25"/>
      <c r="M191" s="26"/>
      <c r="N191" s="26"/>
      <c r="O191" s="24"/>
      <c r="P191" s="27"/>
      <c r="Q191" s="24"/>
      <c r="R191" s="123"/>
    </row>
    <row r="192" spans="1:18" x14ac:dyDescent="0.35">
      <c r="A192" s="71" t="str">
        <f>IF(TRIM(G192)&lt;&gt;"",COUNTA(G$11:$G192)&amp;"","")</f>
        <v/>
      </c>
      <c r="B192" s="72"/>
      <c r="C192" s="72"/>
      <c r="D192" s="34"/>
      <c r="E192" s="69"/>
      <c r="F192" s="73"/>
      <c r="G192" s="74"/>
      <c r="H192" s="22" t="str">
        <f t="shared" si="287"/>
        <v/>
      </c>
      <c r="I192" s="51" t="str">
        <f t="shared" si="288"/>
        <v/>
      </c>
      <c r="J192" s="23" t="str">
        <f t="shared" si="289"/>
        <v/>
      </c>
      <c r="K192" s="24" t="str">
        <f t="shared" si="290"/>
        <v/>
      </c>
      <c r="L192" s="25" t="str">
        <f>IF(F192=0,"",L$144)</f>
        <v/>
      </c>
      <c r="M192" s="26" t="str">
        <f t="shared" si="291"/>
        <v/>
      </c>
      <c r="N192" s="26" t="str">
        <f t="shared" si="292"/>
        <v/>
      </c>
      <c r="O192" s="24" t="str">
        <f t="shared" si="293"/>
        <v/>
      </c>
      <c r="P192" s="27" t="str">
        <f t="shared" si="284"/>
        <v/>
      </c>
      <c r="Q192" s="24" t="str">
        <f t="shared" si="285"/>
        <v/>
      </c>
      <c r="R192" s="123"/>
    </row>
    <row r="193" spans="1:18" s="18" customFormat="1" ht="19.25" customHeight="1" x14ac:dyDescent="0.35">
      <c r="A193" s="71" t="str">
        <f>IF(TRIM(G193)&lt;&gt;"",COUNTA(G$11:$G193)&amp;"","")</f>
        <v/>
      </c>
      <c r="B193" s="33"/>
      <c r="C193" s="33"/>
      <c r="D193" s="207" t="s">
        <v>86</v>
      </c>
      <c r="E193" s="205" t="s">
        <v>295</v>
      </c>
      <c r="F193" s="73"/>
      <c r="G193" s="74"/>
      <c r="H193" s="22" t="str">
        <f t="shared" si="277"/>
        <v/>
      </c>
      <c r="I193" s="51" t="str">
        <f t="shared" si="278"/>
        <v/>
      </c>
      <c r="J193" s="23" t="str">
        <f t="shared" si="279"/>
        <v/>
      </c>
      <c r="K193" s="24" t="str">
        <f t="shared" si="280"/>
        <v/>
      </c>
      <c r="L193" s="25" t="str">
        <f>IF(F193=0,"",L$144)</f>
        <v/>
      </c>
      <c r="M193" s="26" t="str">
        <f t="shared" si="281"/>
        <v/>
      </c>
      <c r="N193" s="26" t="str">
        <f t="shared" si="282"/>
        <v/>
      </c>
      <c r="O193" s="24" t="str">
        <f t="shared" si="283"/>
        <v/>
      </c>
      <c r="P193" s="27" t="str">
        <f t="shared" si="284"/>
        <v/>
      </c>
      <c r="Q193" s="24" t="str">
        <f t="shared" si="285"/>
        <v/>
      </c>
      <c r="R193" s="125"/>
    </row>
    <row r="194" spans="1:18" x14ac:dyDescent="0.35">
      <c r="A194" s="71" t="str">
        <f>IF(TRIM(G194)&lt;&gt;"",COUNTA(G$11:$G194)&amp;"","")</f>
        <v>108</v>
      </c>
      <c r="B194" s="303" t="s">
        <v>629</v>
      </c>
      <c r="C194" s="303" t="s">
        <v>629</v>
      </c>
      <c r="D194" s="34"/>
      <c r="E194" s="69" t="s">
        <v>296</v>
      </c>
      <c r="F194" s="73">
        <v>124.74</v>
      </c>
      <c r="G194" s="74" t="s">
        <v>141</v>
      </c>
      <c r="H194" s="22">
        <v>0.1</v>
      </c>
      <c r="I194" s="51">
        <f t="shared" si="278"/>
        <v>137.214</v>
      </c>
      <c r="J194" s="23">
        <v>4.78</v>
      </c>
      <c r="K194" s="24">
        <f t="shared" si="280"/>
        <v>655.88292000000001</v>
      </c>
      <c r="L194" s="25">
        <f>IF(F194=0,"",L$144)</f>
        <v>76</v>
      </c>
      <c r="M194" s="26">
        <v>0.109</v>
      </c>
      <c r="N194" s="26">
        <f t="shared" si="282"/>
        <v>14.956326000000001</v>
      </c>
      <c r="O194" s="24">
        <f t="shared" si="283"/>
        <v>1136.6807760000002</v>
      </c>
      <c r="P194" s="27">
        <f t="shared" si="284"/>
        <v>13.064000000000002</v>
      </c>
      <c r="Q194" s="24">
        <f t="shared" si="285"/>
        <v>1792.5636960000002</v>
      </c>
      <c r="R194" s="123"/>
    </row>
    <row r="195" spans="1:18" x14ac:dyDescent="0.35">
      <c r="A195" s="71" t="str">
        <f>IF(TRIM(G195)&lt;&gt;"",COUNTA(G$11:$G195)&amp;"","")</f>
        <v>109</v>
      </c>
      <c r="B195" s="304"/>
      <c r="C195" s="304"/>
      <c r="D195" s="34"/>
      <c r="E195" s="69" t="s">
        <v>297</v>
      </c>
      <c r="F195" s="73">
        <v>115.95</v>
      </c>
      <c r="G195" s="74" t="s">
        <v>141</v>
      </c>
      <c r="H195" s="22">
        <v>0.1</v>
      </c>
      <c r="I195" s="51">
        <f t="shared" ref="I195:I198" si="316">IF(F195=0,"",F195+(F195*H195))</f>
        <v>127.545</v>
      </c>
      <c r="J195" s="23">
        <v>4.78</v>
      </c>
      <c r="K195" s="24">
        <f t="shared" ref="K195:K198" si="317">IF(F195=0,"",J195*I195)</f>
        <v>609.66510000000005</v>
      </c>
      <c r="L195" s="25">
        <f t="shared" ref="L195:L198" si="318">IF(F195=0,"",L$144)</f>
        <v>76</v>
      </c>
      <c r="M195" s="26">
        <v>0.109</v>
      </c>
      <c r="N195" s="26">
        <f t="shared" ref="N195:N198" si="319">IF(F195=0,"",M195*I195)</f>
        <v>13.902405</v>
      </c>
      <c r="O195" s="24">
        <f t="shared" ref="O195:O198" si="320">IF(F195=0,"",N195*L195)</f>
        <v>1056.58278</v>
      </c>
      <c r="P195" s="27">
        <f t="shared" ref="P195:P198" si="321">IF(F195=0,"",(K195+O195)/I195)</f>
        <v>13.063999999999998</v>
      </c>
      <c r="Q195" s="24">
        <f t="shared" ref="Q195:Q198" si="322">IF(F195=0,"",(P195*I195))</f>
        <v>1666.2478799999999</v>
      </c>
      <c r="R195" s="123"/>
    </row>
    <row r="196" spans="1:18" x14ac:dyDescent="0.35">
      <c r="A196" s="71" t="str">
        <f>IF(TRIM(G196)&lt;&gt;"",COUNTA(G$11:$G196)&amp;"","")</f>
        <v>110</v>
      </c>
      <c r="B196" s="304"/>
      <c r="C196" s="304"/>
      <c r="D196" s="34"/>
      <c r="E196" s="69" t="s">
        <v>298</v>
      </c>
      <c r="F196" s="73">
        <v>272.7</v>
      </c>
      <c r="G196" s="74" t="s">
        <v>141</v>
      </c>
      <c r="H196" s="22">
        <v>0.1</v>
      </c>
      <c r="I196" s="51">
        <f t="shared" si="316"/>
        <v>299.96999999999997</v>
      </c>
      <c r="J196" s="23">
        <v>4.78</v>
      </c>
      <c r="K196" s="24">
        <f t="shared" si="317"/>
        <v>1433.8565999999998</v>
      </c>
      <c r="L196" s="25">
        <f t="shared" si="318"/>
        <v>76</v>
      </c>
      <c r="M196" s="26">
        <v>0.109</v>
      </c>
      <c r="N196" s="26">
        <f t="shared" si="319"/>
        <v>32.696729999999995</v>
      </c>
      <c r="O196" s="24">
        <f t="shared" si="320"/>
        <v>2484.9514799999997</v>
      </c>
      <c r="P196" s="27">
        <f t="shared" si="321"/>
        <v>13.064</v>
      </c>
      <c r="Q196" s="24">
        <f t="shared" si="322"/>
        <v>3918.8080799999998</v>
      </c>
      <c r="R196" s="123"/>
    </row>
    <row r="197" spans="1:18" x14ac:dyDescent="0.35">
      <c r="A197" s="71" t="str">
        <f>IF(TRIM(G197)&lt;&gt;"",COUNTA(G$11:$G197)&amp;"","")</f>
        <v>111</v>
      </c>
      <c r="B197" s="304"/>
      <c r="C197" s="304"/>
      <c r="D197" s="34"/>
      <c r="E197" s="69" t="s">
        <v>634</v>
      </c>
      <c r="F197" s="73">
        <v>72.2</v>
      </c>
      <c r="G197" s="74" t="s">
        <v>141</v>
      </c>
      <c r="H197" s="22">
        <v>0.1</v>
      </c>
      <c r="I197" s="51">
        <f t="shared" si="316"/>
        <v>79.42</v>
      </c>
      <c r="J197" s="23">
        <v>4.78</v>
      </c>
      <c r="K197" s="24">
        <f t="shared" si="317"/>
        <v>379.62760000000003</v>
      </c>
      <c r="L197" s="25">
        <f t="shared" si="318"/>
        <v>76</v>
      </c>
      <c r="M197" s="26">
        <v>0.109</v>
      </c>
      <c r="N197" s="26">
        <f t="shared" si="319"/>
        <v>8.6567799999999995</v>
      </c>
      <c r="O197" s="24">
        <f t="shared" si="320"/>
        <v>657.91527999999994</v>
      </c>
      <c r="P197" s="27">
        <f t="shared" si="321"/>
        <v>13.064</v>
      </c>
      <c r="Q197" s="24">
        <f t="shared" si="322"/>
        <v>1037.54288</v>
      </c>
      <c r="R197" s="123"/>
    </row>
    <row r="198" spans="1:18" x14ac:dyDescent="0.35">
      <c r="A198" s="71" t="str">
        <f>IF(TRIM(G198)&lt;&gt;"",COUNTA(G$11:$G198)&amp;"","")</f>
        <v>112</v>
      </c>
      <c r="B198" s="304"/>
      <c r="C198" s="304"/>
      <c r="D198" s="34"/>
      <c r="E198" s="69" t="s">
        <v>299</v>
      </c>
      <c r="F198" s="73">
        <v>145.05000000000001</v>
      </c>
      <c r="G198" s="74" t="s">
        <v>141</v>
      </c>
      <c r="H198" s="22">
        <v>0.1</v>
      </c>
      <c r="I198" s="51">
        <f t="shared" si="316"/>
        <v>159.55500000000001</v>
      </c>
      <c r="J198" s="23">
        <v>4.78</v>
      </c>
      <c r="K198" s="24">
        <f t="shared" si="317"/>
        <v>762.67290000000003</v>
      </c>
      <c r="L198" s="25">
        <f t="shared" si="318"/>
        <v>76</v>
      </c>
      <c r="M198" s="26">
        <v>0.109</v>
      </c>
      <c r="N198" s="26">
        <f t="shared" si="319"/>
        <v>17.391494999999999</v>
      </c>
      <c r="O198" s="24">
        <f t="shared" si="320"/>
        <v>1321.75362</v>
      </c>
      <c r="P198" s="27">
        <f t="shared" si="321"/>
        <v>13.064</v>
      </c>
      <c r="Q198" s="24">
        <f t="shared" si="322"/>
        <v>2084.42652</v>
      </c>
      <c r="R198" s="123"/>
    </row>
    <row r="199" spans="1:18" x14ac:dyDescent="0.35">
      <c r="A199" s="71" t="str">
        <f>IF(TRIM(G199)&lt;&gt;"",COUNTA(G$11:$G199)&amp;"","")</f>
        <v/>
      </c>
      <c r="B199" s="304"/>
      <c r="C199" s="304"/>
      <c r="D199" s="34"/>
      <c r="E199" s="69"/>
      <c r="F199" s="73"/>
      <c r="G199" s="74"/>
      <c r="H199" s="22"/>
      <c r="I199" s="51"/>
      <c r="J199" s="23"/>
      <c r="K199" s="24"/>
      <c r="L199" s="25"/>
      <c r="M199" s="26"/>
      <c r="N199" s="26"/>
      <c r="O199" s="24"/>
      <c r="P199" s="27"/>
      <c r="Q199" s="24"/>
      <c r="R199" s="123"/>
    </row>
    <row r="200" spans="1:18" x14ac:dyDescent="0.35">
      <c r="A200" s="71" t="str">
        <f>IF(TRIM(G200)&lt;&gt;"",COUNTA(G$11:$G200)&amp;"","")</f>
        <v/>
      </c>
      <c r="B200" s="304"/>
      <c r="C200" s="304"/>
      <c r="D200" s="34"/>
      <c r="E200" s="205" t="s">
        <v>300</v>
      </c>
      <c r="F200" s="73"/>
      <c r="G200" s="74"/>
      <c r="H200" s="22"/>
      <c r="I200" s="51"/>
      <c r="J200" s="23"/>
      <c r="K200" s="24"/>
      <c r="L200" s="25"/>
      <c r="M200" s="26"/>
      <c r="N200" s="26"/>
      <c r="O200" s="24"/>
      <c r="P200" s="27"/>
      <c r="Q200" s="24"/>
      <c r="R200" s="123"/>
    </row>
    <row r="201" spans="1:18" x14ac:dyDescent="0.35">
      <c r="A201" s="71" t="str">
        <f>IF(TRIM(G201)&lt;&gt;"",COUNTA(G$11:$G201)&amp;"","")</f>
        <v>113</v>
      </c>
      <c r="B201" s="304"/>
      <c r="C201" s="304"/>
      <c r="D201" s="34"/>
      <c r="E201" s="69" t="s">
        <v>301</v>
      </c>
      <c r="F201" s="73">
        <v>96.52</v>
      </c>
      <c r="G201" s="74" t="s">
        <v>154</v>
      </c>
      <c r="H201" s="22">
        <v>0.1</v>
      </c>
      <c r="I201" s="51">
        <f t="shared" ref="I201:I205" si="323">IF(F201=0,"",F201+(F201*H201))</f>
        <v>106.172</v>
      </c>
      <c r="J201" s="23">
        <v>3</v>
      </c>
      <c r="K201" s="24">
        <f t="shared" ref="K201" si="324">IF(F201=0,"",J201*I201)</f>
        <v>318.51599999999996</v>
      </c>
      <c r="L201" s="25">
        <f t="shared" ref="L201" si="325">IF(F201=0,"",L$144)</f>
        <v>76</v>
      </c>
      <c r="M201" s="26">
        <v>0.04</v>
      </c>
      <c r="N201" s="26">
        <f t="shared" ref="N201:N205" si="326">IF(F201=0,"",M201*I201)</f>
        <v>4.24688</v>
      </c>
      <c r="O201" s="24">
        <f t="shared" ref="O201:O205" si="327">IF(F201=0,"",N201*L201)</f>
        <v>322.76288</v>
      </c>
      <c r="P201" s="27">
        <f t="shared" ref="P201:P205" si="328">IF(F201=0,"",(K201+O201)/I201)</f>
        <v>6.04</v>
      </c>
      <c r="Q201" s="24">
        <f t="shared" ref="Q201:Q205" si="329">IF(F201=0,"",(P201*I201))</f>
        <v>641.27887999999996</v>
      </c>
      <c r="R201" s="123"/>
    </row>
    <row r="202" spans="1:18" x14ac:dyDescent="0.35">
      <c r="A202" s="71" t="str">
        <f>IF(TRIM(G202)&lt;&gt;"",COUNTA(G$11:$G202)&amp;"","")</f>
        <v>114</v>
      </c>
      <c r="B202" s="304"/>
      <c r="C202" s="304"/>
      <c r="D202" s="34"/>
      <c r="E202" s="69" t="s">
        <v>302</v>
      </c>
      <c r="F202" s="73">
        <v>56.8</v>
      </c>
      <c r="G202" s="74" t="s">
        <v>154</v>
      </c>
      <c r="H202" s="22">
        <v>0.1</v>
      </c>
      <c r="I202" s="51">
        <f t="shared" si="323"/>
        <v>62.48</v>
      </c>
      <c r="J202" s="23">
        <v>3</v>
      </c>
      <c r="K202" s="24">
        <f t="shared" ref="K202:K205" si="330">IF(F202=0,"",J202*I202)</f>
        <v>187.44</v>
      </c>
      <c r="L202" s="25">
        <f t="shared" ref="L202:L205" si="331">IF(F202=0,"",L$144)</f>
        <v>76</v>
      </c>
      <c r="M202" s="26">
        <v>0.04</v>
      </c>
      <c r="N202" s="26">
        <f t="shared" si="326"/>
        <v>2.4992000000000001</v>
      </c>
      <c r="O202" s="24">
        <f t="shared" si="327"/>
        <v>189.9392</v>
      </c>
      <c r="P202" s="27">
        <f t="shared" si="328"/>
        <v>6.04</v>
      </c>
      <c r="Q202" s="24">
        <f t="shared" si="329"/>
        <v>377.37919999999997</v>
      </c>
      <c r="R202" s="123"/>
    </row>
    <row r="203" spans="1:18" x14ac:dyDescent="0.35">
      <c r="A203" s="71" t="str">
        <f>IF(TRIM(G203)&lt;&gt;"",COUNTA(G$11:$G203)&amp;"","")</f>
        <v>115</v>
      </c>
      <c r="B203" s="304"/>
      <c r="C203" s="304"/>
      <c r="D203" s="34"/>
      <c r="E203" s="69" t="s">
        <v>303</v>
      </c>
      <c r="F203" s="73">
        <v>93.65</v>
      </c>
      <c r="G203" s="74" t="s">
        <v>154</v>
      </c>
      <c r="H203" s="22">
        <v>0.1</v>
      </c>
      <c r="I203" s="51">
        <f t="shared" si="323"/>
        <v>103.015</v>
      </c>
      <c r="J203" s="23">
        <v>3</v>
      </c>
      <c r="K203" s="24">
        <f t="shared" si="330"/>
        <v>309.04500000000002</v>
      </c>
      <c r="L203" s="25">
        <f t="shared" si="331"/>
        <v>76</v>
      </c>
      <c r="M203" s="26">
        <v>0.04</v>
      </c>
      <c r="N203" s="26">
        <f t="shared" si="326"/>
        <v>4.1206000000000005</v>
      </c>
      <c r="O203" s="24">
        <f t="shared" si="327"/>
        <v>313.16560000000004</v>
      </c>
      <c r="P203" s="27">
        <f t="shared" si="328"/>
        <v>6.0400000000000009</v>
      </c>
      <c r="Q203" s="24">
        <f t="shared" si="329"/>
        <v>622.21060000000011</v>
      </c>
      <c r="R203" s="123"/>
    </row>
    <row r="204" spans="1:18" x14ac:dyDescent="0.35">
      <c r="A204" s="71" t="str">
        <f>IF(TRIM(G204)&lt;&gt;"",COUNTA(G$11:$G204)&amp;"","")</f>
        <v>116</v>
      </c>
      <c r="B204" s="304"/>
      <c r="C204" s="304"/>
      <c r="D204" s="34"/>
      <c r="E204" s="69" t="s">
        <v>304</v>
      </c>
      <c r="F204" s="73">
        <v>59.55</v>
      </c>
      <c r="G204" s="74" t="s">
        <v>154</v>
      </c>
      <c r="H204" s="22">
        <v>0.1</v>
      </c>
      <c r="I204" s="51">
        <f t="shared" si="323"/>
        <v>65.504999999999995</v>
      </c>
      <c r="J204" s="23">
        <v>3</v>
      </c>
      <c r="K204" s="24">
        <f t="shared" si="330"/>
        <v>196.51499999999999</v>
      </c>
      <c r="L204" s="25">
        <f t="shared" si="331"/>
        <v>76</v>
      </c>
      <c r="M204" s="26">
        <v>0.04</v>
      </c>
      <c r="N204" s="26">
        <f t="shared" si="326"/>
        <v>2.6202000000000001</v>
      </c>
      <c r="O204" s="24">
        <f t="shared" si="327"/>
        <v>199.1352</v>
      </c>
      <c r="P204" s="27">
        <f t="shared" si="328"/>
        <v>6.04</v>
      </c>
      <c r="Q204" s="24">
        <f t="shared" si="329"/>
        <v>395.65019999999998</v>
      </c>
      <c r="R204" s="123"/>
    </row>
    <row r="205" spans="1:18" x14ac:dyDescent="0.35">
      <c r="A205" s="71" t="str">
        <f>IF(TRIM(G205)&lt;&gt;"",COUNTA(G$11:$G205)&amp;"","")</f>
        <v>117</v>
      </c>
      <c r="B205" s="304"/>
      <c r="C205" s="304"/>
      <c r="D205" s="34"/>
      <c r="E205" s="69" t="s">
        <v>305</v>
      </c>
      <c r="F205" s="73">
        <v>58.25</v>
      </c>
      <c r="G205" s="74" t="s">
        <v>154</v>
      </c>
      <c r="H205" s="22">
        <v>0.1</v>
      </c>
      <c r="I205" s="51">
        <f t="shared" si="323"/>
        <v>64.075000000000003</v>
      </c>
      <c r="J205" s="23">
        <v>3</v>
      </c>
      <c r="K205" s="24">
        <f t="shared" si="330"/>
        <v>192.22500000000002</v>
      </c>
      <c r="L205" s="25">
        <f t="shared" si="331"/>
        <v>76</v>
      </c>
      <c r="M205" s="26">
        <v>0.04</v>
      </c>
      <c r="N205" s="26">
        <f t="shared" si="326"/>
        <v>2.5630000000000002</v>
      </c>
      <c r="O205" s="24">
        <f t="shared" si="327"/>
        <v>194.78800000000001</v>
      </c>
      <c r="P205" s="27">
        <f t="shared" si="328"/>
        <v>6.04</v>
      </c>
      <c r="Q205" s="24">
        <f t="shared" si="329"/>
        <v>387.01300000000003</v>
      </c>
      <c r="R205" s="123"/>
    </row>
    <row r="206" spans="1:18" x14ac:dyDescent="0.35">
      <c r="A206" s="71" t="str">
        <f>IF(TRIM(G206)&lt;&gt;"",COUNTA(G$11:$G206)&amp;"","")</f>
        <v/>
      </c>
      <c r="B206" s="305"/>
      <c r="C206" s="305"/>
      <c r="D206" s="34"/>
      <c r="E206" s="262" t="s">
        <v>294</v>
      </c>
      <c r="F206" s="73"/>
      <c r="G206" s="74"/>
      <c r="H206" s="22"/>
      <c r="I206" s="51"/>
      <c r="J206" s="23"/>
      <c r="K206" s="24"/>
      <c r="L206" s="25"/>
      <c r="M206" s="26"/>
      <c r="N206" s="26"/>
      <c r="O206" s="24"/>
      <c r="P206" s="27"/>
      <c r="Q206" s="24"/>
      <c r="R206" s="123"/>
    </row>
    <row r="207" spans="1:18" x14ac:dyDescent="0.35">
      <c r="A207" s="71" t="str">
        <f>IF(TRIM(G207)&lt;&gt;"",COUNTA(G$11:$G207)&amp;"","")</f>
        <v/>
      </c>
      <c r="B207" s="72"/>
      <c r="C207" s="72"/>
      <c r="D207" s="34"/>
      <c r="E207" s="69"/>
      <c r="F207" s="73"/>
      <c r="G207" s="74"/>
      <c r="H207" s="22"/>
      <c r="I207" s="51"/>
      <c r="J207" s="23"/>
      <c r="K207" s="24"/>
      <c r="L207" s="25"/>
      <c r="M207" s="26"/>
      <c r="N207" s="26"/>
      <c r="O207" s="24"/>
      <c r="P207" s="27"/>
      <c r="Q207" s="24"/>
      <c r="R207" s="123"/>
    </row>
    <row r="208" spans="1:18" s="18" customFormat="1" ht="19.25" customHeight="1" x14ac:dyDescent="0.35">
      <c r="A208" s="71" t="str">
        <f>IF(TRIM(G208)&lt;&gt;"",COUNTA(G$11:$G208)&amp;"","")</f>
        <v/>
      </c>
      <c r="B208" s="33"/>
      <c r="C208" s="33"/>
      <c r="D208" s="207" t="s">
        <v>181</v>
      </c>
      <c r="E208" s="205" t="s">
        <v>306</v>
      </c>
      <c r="F208" s="73"/>
      <c r="G208" s="74"/>
      <c r="H208" s="22" t="str">
        <f t="shared" si="277"/>
        <v/>
      </c>
      <c r="I208" s="51" t="str">
        <f t="shared" si="278"/>
        <v/>
      </c>
      <c r="J208" s="23" t="str">
        <f t="shared" si="279"/>
        <v/>
      </c>
      <c r="K208" s="24" t="str">
        <f t="shared" si="280"/>
        <v/>
      </c>
      <c r="L208" s="25" t="str">
        <f>IF(F208=0,"",L$144)</f>
        <v/>
      </c>
      <c r="M208" s="26" t="str">
        <f t="shared" si="281"/>
        <v/>
      </c>
      <c r="N208" s="26" t="str">
        <f t="shared" si="282"/>
        <v/>
      </c>
      <c r="O208" s="24" t="str">
        <f t="shared" si="283"/>
        <v/>
      </c>
      <c r="P208" s="27" t="str">
        <f t="shared" si="284"/>
        <v/>
      </c>
      <c r="Q208" s="24" t="str">
        <f t="shared" si="285"/>
        <v/>
      </c>
      <c r="R208" s="125"/>
    </row>
    <row r="209" spans="1:18" x14ac:dyDescent="0.35">
      <c r="A209" s="71" t="str">
        <f>IF(TRIM(G209)&lt;&gt;"",COUNTA(G$11:$G209)&amp;"","")</f>
        <v>118</v>
      </c>
      <c r="B209" s="33" t="s">
        <v>628</v>
      </c>
      <c r="C209" s="33" t="s">
        <v>628</v>
      </c>
      <c r="D209" s="34"/>
      <c r="E209" s="69" t="s">
        <v>307</v>
      </c>
      <c r="F209" s="73">
        <v>1596.04</v>
      </c>
      <c r="G209" s="74" t="s">
        <v>141</v>
      </c>
      <c r="H209" s="22">
        <v>0.1</v>
      </c>
      <c r="I209" s="51">
        <f t="shared" si="278"/>
        <v>1755.644</v>
      </c>
      <c r="J209" s="23">
        <v>1.0900000000000001</v>
      </c>
      <c r="K209" s="24">
        <f t="shared" si="280"/>
        <v>1913.6519600000001</v>
      </c>
      <c r="L209" s="25">
        <f>IF(F209=0,"",L$144)</f>
        <v>76</v>
      </c>
      <c r="M209" s="26">
        <v>3.5999999999999997E-2</v>
      </c>
      <c r="N209" s="26">
        <f t="shared" si="282"/>
        <v>63.203183999999993</v>
      </c>
      <c r="O209" s="24">
        <f t="shared" si="283"/>
        <v>4803.4419839999991</v>
      </c>
      <c r="P209" s="27">
        <f t="shared" si="284"/>
        <v>3.8259999999999996</v>
      </c>
      <c r="Q209" s="24">
        <f t="shared" si="285"/>
        <v>6717.0939439999993</v>
      </c>
      <c r="R209" s="123"/>
    </row>
    <row r="210" spans="1:18" x14ac:dyDescent="0.35">
      <c r="A210" s="71" t="str">
        <f>IF(TRIM(G210)&lt;&gt;"",COUNTA(G$11:$G210)&amp;"","")</f>
        <v/>
      </c>
      <c r="B210" s="72"/>
      <c r="C210" s="72"/>
      <c r="D210" s="34"/>
      <c r="E210" s="69"/>
      <c r="F210" s="73"/>
      <c r="G210" s="74"/>
      <c r="H210" s="22" t="str">
        <f t="shared" ref="H210:H213" si="332">IF(F210=0,"",0)</f>
        <v/>
      </c>
      <c r="I210" s="51" t="str">
        <f t="shared" ref="I210:I233" si="333">IF(F210=0,"",F210+(F210*H210))</f>
        <v/>
      </c>
      <c r="J210" s="23" t="str">
        <f t="shared" ref="J210:J233" si="334">IF(F210=0,"",0)</f>
        <v/>
      </c>
      <c r="K210" s="24" t="str">
        <f t="shared" ref="K210:K233" si="335">IF(F210=0,"",J210*I210)</f>
        <v/>
      </c>
      <c r="L210" s="25" t="str">
        <f>IF(F210=0,"",L$144)</f>
        <v/>
      </c>
      <c r="M210" s="26" t="str">
        <f t="shared" ref="M210:M233" si="336">IF(F210=0,"",0)</f>
        <v/>
      </c>
      <c r="N210" s="26" t="str">
        <f t="shared" ref="N210:N233" si="337">IF(F210=0,"",M210*I210)</f>
        <v/>
      </c>
      <c r="O210" s="24" t="str">
        <f t="shared" ref="O210:O233" si="338">IF(F210=0,"",N210*L210)</f>
        <v/>
      </c>
      <c r="P210" s="27" t="str">
        <f t="shared" ref="P210:P233" si="339">IF(F210=0,"",(K210+O210)/I210)</f>
        <v/>
      </c>
      <c r="Q210" s="24" t="str">
        <f t="shared" ref="Q210:Q233" si="340">IF(F210=0,"",(P210*I210))</f>
        <v/>
      </c>
      <c r="R210" s="123"/>
    </row>
    <row r="211" spans="1:18" s="18" customFormat="1" ht="19.25" customHeight="1" x14ac:dyDescent="0.35">
      <c r="A211" s="71" t="str">
        <f>IF(TRIM(G211)&lt;&gt;"",COUNTA(G$11:$G211)&amp;"","")</f>
        <v/>
      </c>
      <c r="B211" s="33"/>
      <c r="C211" s="33"/>
      <c r="D211" s="207" t="s">
        <v>88</v>
      </c>
      <c r="E211" s="205" t="s">
        <v>87</v>
      </c>
      <c r="F211" s="73"/>
      <c r="G211" s="74"/>
      <c r="H211" s="22" t="str">
        <f t="shared" si="332"/>
        <v/>
      </c>
      <c r="I211" s="51" t="str">
        <f t="shared" si="333"/>
        <v/>
      </c>
      <c r="J211" s="23" t="str">
        <f t="shared" si="334"/>
        <v/>
      </c>
      <c r="K211" s="24" t="str">
        <f t="shared" si="335"/>
        <v/>
      </c>
      <c r="L211" s="25" t="str">
        <f>IF(F211=0,"",L$144)</f>
        <v/>
      </c>
      <c r="M211" s="26" t="str">
        <f t="shared" si="336"/>
        <v/>
      </c>
      <c r="N211" s="26" t="str">
        <f t="shared" si="337"/>
        <v/>
      </c>
      <c r="O211" s="24" t="str">
        <f t="shared" si="338"/>
        <v/>
      </c>
      <c r="P211" s="27" t="str">
        <f t="shared" si="339"/>
        <v/>
      </c>
      <c r="Q211" s="24" t="str">
        <f t="shared" si="340"/>
        <v/>
      </c>
      <c r="R211" s="125"/>
    </row>
    <row r="212" spans="1:18" x14ac:dyDescent="0.35">
      <c r="A212" s="71" t="str">
        <f>IF(TRIM(G212)&lt;&gt;"",COUNTA(G$11:$G212)&amp;"","")</f>
        <v/>
      </c>
      <c r="B212" s="72"/>
      <c r="C212" s="72"/>
      <c r="D212" s="34"/>
      <c r="E212" s="267" t="s">
        <v>500</v>
      </c>
      <c r="F212" s="73"/>
      <c r="G212" s="74"/>
      <c r="H212" s="22"/>
      <c r="I212" s="51"/>
      <c r="J212" s="23"/>
      <c r="K212" s="24"/>
      <c r="L212" s="25"/>
      <c r="M212" s="26"/>
      <c r="N212" s="26"/>
      <c r="O212" s="24"/>
      <c r="P212" s="27"/>
      <c r="Q212" s="24"/>
      <c r="R212" s="123"/>
    </row>
    <row r="213" spans="1:18" ht="46.5" x14ac:dyDescent="0.35">
      <c r="A213" s="71" t="str">
        <f>IF(TRIM(G213)&lt;&gt;"",COUNTA(G$11:$G213)&amp;"","")</f>
        <v>119</v>
      </c>
      <c r="B213" s="303" t="s">
        <v>628</v>
      </c>
      <c r="C213" s="303" t="s">
        <v>628</v>
      </c>
      <c r="D213" s="34"/>
      <c r="E213" s="266" t="s">
        <v>498</v>
      </c>
      <c r="F213" s="73">
        <f>(3271.392/250)+(3271.392/400)</f>
        <v>21.264047999999999</v>
      </c>
      <c r="G213" s="74" t="s">
        <v>192</v>
      </c>
      <c r="H213" s="22">
        <f t="shared" si="332"/>
        <v>0</v>
      </c>
      <c r="I213" s="51">
        <f t="shared" si="333"/>
        <v>21.264047999999999</v>
      </c>
      <c r="J213" s="23">
        <f>400*0.4</f>
        <v>160</v>
      </c>
      <c r="K213" s="24">
        <f t="shared" si="335"/>
        <v>3402.2476799999999</v>
      </c>
      <c r="L213" s="25">
        <f>IF(F213=0,"",L$144)</f>
        <v>76</v>
      </c>
      <c r="M213" s="26">
        <f>0.02*400</f>
        <v>8</v>
      </c>
      <c r="N213" s="26">
        <f t="shared" si="337"/>
        <v>170.11238399999999</v>
      </c>
      <c r="O213" s="24">
        <f t="shared" si="338"/>
        <v>12928.541184</v>
      </c>
      <c r="P213" s="27">
        <f t="shared" si="339"/>
        <v>768</v>
      </c>
      <c r="Q213" s="24">
        <f t="shared" si="340"/>
        <v>16330.788863999998</v>
      </c>
      <c r="R213" s="123"/>
    </row>
    <row r="214" spans="1:18" x14ac:dyDescent="0.35">
      <c r="A214" s="71" t="str">
        <f>IF(TRIM(G214)&lt;&gt;"",COUNTA(G$11:$G214)&amp;"","")</f>
        <v/>
      </c>
      <c r="B214" s="304"/>
      <c r="C214" s="304"/>
      <c r="D214" s="34"/>
      <c r="E214" s="69"/>
      <c r="F214" s="73"/>
      <c r="G214" s="74"/>
      <c r="H214" s="22"/>
      <c r="I214" s="51"/>
      <c r="J214" s="23"/>
      <c r="K214" s="24"/>
      <c r="L214" s="25"/>
      <c r="M214" s="26"/>
      <c r="N214" s="26"/>
      <c r="O214" s="24"/>
      <c r="P214" s="27"/>
      <c r="Q214" s="24"/>
      <c r="R214" s="123"/>
    </row>
    <row r="215" spans="1:18" x14ac:dyDescent="0.35">
      <c r="A215" s="71" t="str">
        <f>IF(TRIM(G215)&lt;&gt;"",COUNTA(G$11:$G215)&amp;"","")</f>
        <v/>
      </c>
      <c r="B215" s="304"/>
      <c r="C215" s="304"/>
      <c r="D215" s="34"/>
      <c r="E215" s="267" t="s">
        <v>501</v>
      </c>
      <c r="F215" s="73"/>
      <c r="G215" s="74"/>
      <c r="H215" s="22"/>
      <c r="I215" s="51"/>
      <c r="J215" s="23"/>
      <c r="K215" s="24"/>
      <c r="L215" s="25"/>
      <c r="M215" s="26"/>
      <c r="N215" s="26"/>
      <c r="O215" s="24"/>
      <c r="P215" s="27"/>
      <c r="Q215" s="24"/>
      <c r="R215" s="123"/>
    </row>
    <row r="216" spans="1:18" ht="46.5" x14ac:dyDescent="0.35">
      <c r="A216" s="71" t="str">
        <f>IF(TRIM(G216)&lt;&gt;"",COUNTA(G$11:$G216)&amp;"","")</f>
        <v>120</v>
      </c>
      <c r="B216" s="304"/>
      <c r="C216" s="304"/>
      <c r="D216" s="34"/>
      <c r="E216" s="266" t="s">
        <v>499</v>
      </c>
      <c r="F216" s="73">
        <f>(2942.32/250)+(2942.32/400)</f>
        <v>19.125080000000001</v>
      </c>
      <c r="G216" s="74" t="s">
        <v>192</v>
      </c>
      <c r="H216" s="22">
        <v>0</v>
      </c>
      <c r="I216" s="51">
        <f t="shared" ref="I216:I230" si="341">IF(F216=0,"",F216+(F216*H216))</f>
        <v>19.125080000000001</v>
      </c>
      <c r="J216" s="23">
        <f>400*0.4</f>
        <v>160</v>
      </c>
      <c r="K216" s="24">
        <f t="shared" ref="K216" si="342">IF(F216=0,"",J216*I216)</f>
        <v>3060.0128</v>
      </c>
      <c r="L216" s="25">
        <f>IF(F216=0,"",L$144)</f>
        <v>76</v>
      </c>
      <c r="M216" s="26">
        <f>0.02*400</f>
        <v>8</v>
      </c>
      <c r="N216" s="26">
        <f t="shared" ref="N216:N230" si="343">IF(F216=0,"",M216*I216)</f>
        <v>153.00064</v>
      </c>
      <c r="O216" s="24">
        <f t="shared" ref="O216:O230" si="344">IF(F216=0,"",N216*L216)</f>
        <v>11628.048640000001</v>
      </c>
      <c r="P216" s="27">
        <f t="shared" ref="P216:P230" si="345">IF(F216=0,"",(K216+O216)/I216)</f>
        <v>768</v>
      </c>
      <c r="Q216" s="24">
        <f t="shared" ref="Q216:Q230" si="346">IF(F216=0,"",(P216*I216))</f>
        <v>14688.061440000001</v>
      </c>
      <c r="R216" s="123"/>
    </row>
    <row r="217" spans="1:18" x14ac:dyDescent="0.35">
      <c r="A217" s="71" t="str">
        <f>IF(TRIM(G217)&lt;&gt;"",COUNTA(G$11:$G217)&amp;"","")</f>
        <v/>
      </c>
      <c r="B217" s="304"/>
      <c r="C217" s="304"/>
      <c r="D217" s="34"/>
      <c r="E217" s="69"/>
      <c r="F217" s="73"/>
      <c r="G217" s="74"/>
      <c r="H217" s="22"/>
      <c r="I217" s="51"/>
      <c r="J217" s="23"/>
      <c r="K217" s="24"/>
      <c r="L217" s="25"/>
      <c r="M217" s="26"/>
      <c r="N217" s="26"/>
      <c r="O217" s="24"/>
      <c r="P217" s="27"/>
      <c r="Q217" s="24"/>
      <c r="R217" s="123"/>
    </row>
    <row r="218" spans="1:18" x14ac:dyDescent="0.35">
      <c r="A218" s="71" t="str">
        <f>IF(TRIM(G218)&lt;&gt;"",COUNTA(G$11:$G218)&amp;"","")</f>
        <v/>
      </c>
      <c r="B218" s="304"/>
      <c r="C218" s="304"/>
      <c r="D218" s="34"/>
      <c r="E218" s="267" t="s">
        <v>503</v>
      </c>
      <c r="F218" s="73"/>
      <c r="G218" s="74"/>
      <c r="H218" s="22"/>
      <c r="I218" s="51"/>
      <c r="J218" s="23"/>
      <c r="K218" s="24"/>
      <c r="L218" s="25"/>
      <c r="M218" s="26"/>
      <c r="N218" s="26"/>
      <c r="O218" s="24"/>
      <c r="P218" s="27"/>
      <c r="Q218" s="24"/>
      <c r="R218" s="123"/>
    </row>
    <row r="219" spans="1:18" ht="46.5" x14ac:dyDescent="0.35">
      <c r="A219" s="71" t="str">
        <f>IF(TRIM(G219)&lt;&gt;"",COUNTA(G$11:$G219)&amp;"","")</f>
        <v>121</v>
      </c>
      <c r="B219" s="304"/>
      <c r="C219" s="304"/>
      <c r="D219" s="34"/>
      <c r="E219" s="266" t="s">
        <v>502</v>
      </c>
      <c r="F219" s="73">
        <f>(7152/250)+(7152/400)</f>
        <v>46.488</v>
      </c>
      <c r="G219" s="74" t="s">
        <v>192</v>
      </c>
      <c r="H219" s="22">
        <v>0</v>
      </c>
      <c r="I219" s="51">
        <f t="shared" ref="I219" si="347">IF(F219=0,"",F219+(F219*H219))</f>
        <v>46.488</v>
      </c>
      <c r="J219" s="23">
        <f>400*0.4</f>
        <v>160</v>
      </c>
      <c r="K219" s="24">
        <f t="shared" ref="K219" si="348">IF(F219=0,"",J219*I219)</f>
        <v>7438.08</v>
      </c>
      <c r="L219" s="25">
        <f>IF(F219=0,"",L$144)</f>
        <v>76</v>
      </c>
      <c r="M219" s="26">
        <f>0.02*400</f>
        <v>8</v>
      </c>
      <c r="N219" s="26">
        <f t="shared" ref="N219" si="349">IF(F219=0,"",M219*I219)</f>
        <v>371.904</v>
      </c>
      <c r="O219" s="24">
        <f t="shared" ref="O219" si="350">IF(F219=0,"",N219*L219)</f>
        <v>28264.703999999998</v>
      </c>
      <c r="P219" s="27">
        <f t="shared" ref="P219" si="351">IF(F219=0,"",(K219+O219)/I219)</f>
        <v>768</v>
      </c>
      <c r="Q219" s="24">
        <f t="shared" ref="Q219" si="352">IF(F219=0,"",(P219*I219))</f>
        <v>35702.784</v>
      </c>
      <c r="R219" s="123"/>
    </row>
    <row r="220" spans="1:18" x14ac:dyDescent="0.35">
      <c r="A220" s="71" t="str">
        <f>IF(TRIM(G220)&lt;&gt;"",COUNTA(G$11:$G220)&amp;"","")</f>
        <v/>
      </c>
      <c r="B220" s="304"/>
      <c r="C220" s="304"/>
      <c r="D220" s="34"/>
      <c r="E220" s="69"/>
      <c r="F220" s="73"/>
      <c r="G220" s="74"/>
      <c r="H220" s="22"/>
      <c r="I220" s="51"/>
      <c r="J220" s="23"/>
      <c r="K220" s="24"/>
      <c r="L220" s="25"/>
      <c r="M220" s="26"/>
      <c r="N220" s="26"/>
      <c r="O220" s="24"/>
      <c r="P220" s="27"/>
      <c r="Q220" s="24"/>
      <c r="R220" s="123"/>
    </row>
    <row r="221" spans="1:18" x14ac:dyDescent="0.35">
      <c r="A221" s="71" t="str">
        <f>IF(TRIM(G221)&lt;&gt;"",COUNTA(G$11:$G221)&amp;"","")</f>
        <v/>
      </c>
      <c r="B221" s="304"/>
      <c r="C221" s="304"/>
      <c r="D221" s="34"/>
      <c r="E221" s="267" t="s">
        <v>504</v>
      </c>
      <c r="F221" s="73"/>
      <c r="G221" s="74"/>
      <c r="H221" s="22"/>
      <c r="I221" s="51"/>
      <c r="J221" s="23"/>
      <c r="K221" s="24"/>
      <c r="L221" s="25"/>
      <c r="M221" s="26"/>
      <c r="N221" s="26"/>
      <c r="O221" s="24"/>
      <c r="P221" s="27"/>
      <c r="Q221" s="24"/>
      <c r="R221" s="123"/>
    </row>
    <row r="222" spans="1:18" ht="46.5" x14ac:dyDescent="0.35">
      <c r="A222" s="71" t="str">
        <f>IF(TRIM(G222)&lt;&gt;"",COUNTA(G$11:$G222)&amp;"","")</f>
        <v>122</v>
      </c>
      <c r="B222" s="304"/>
      <c r="C222" s="304"/>
      <c r="D222" s="34"/>
      <c r="E222" s="266" t="s">
        <v>499</v>
      </c>
      <c r="F222" s="73">
        <f>(1278/250)+(1278/400)</f>
        <v>8.3070000000000004</v>
      </c>
      <c r="G222" s="74" t="s">
        <v>192</v>
      </c>
      <c r="H222" s="22">
        <v>0</v>
      </c>
      <c r="I222" s="51">
        <f t="shared" ref="I222" si="353">IF(F222=0,"",F222+(F222*H222))</f>
        <v>8.3070000000000004</v>
      </c>
      <c r="J222" s="23">
        <f>400*0.4</f>
        <v>160</v>
      </c>
      <c r="K222" s="24">
        <f t="shared" ref="K222" si="354">IF(F222=0,"",J222*I222)</f>
        <v>1329.1200000000001</v>
      </c>
      <c r="L222" s="25">
        <f>IF(F222=0,"",L$144)</f>
        <v>76</v>
      </c>
      <c r="M222" s="26">
        <f>0.02*400</f>
        <v>8</v>
      </c>
      <c r="N222" s="26">
        <f t="shared" ref="N222" si="355">IF(F222=0,"",M222*I222)</f>
        <v>66.456000000000003</v>
      </c>
      <c r="O222" s="24">
        <f t="shared" ref="O222" si="356">IF(F222=0,"",N222*L222)</f>
        <v>5050.6559999999999</v>
      </c>
      <c r="P222" s="27">
        <f t="shared" ref="P222" si="357">IF(F222=0,"",(K222+O222)/I222)</f>
        <v>768</v>
      </c>
      <c r="Q222" s="24">
        <f t="shared" ref="Q222" si="358">IF(F222=0,"",(P222*I222))</f>
        <v>6379.7759999999998</v>
      </c>
      <c r="R222" s="123"/>
    </row>
    <row r="223" spans="1:18" x14ac:dyDescent="0.35">
      <c r="A223" s="71" t="str">
        <f>IF(TRIM(G223)&lt;&gt;"",COUNTA(G$11:$G223)&amp;"","")</f>
        <v/>
      </c>
      <c r="B223" s="304"/>
      <c r="C223" s="304"/>
      <c r="D223" s="34"/>
      <c r="E223" s="69"/>
      <c r="F223" s="73"/>
      <c r="G223" s="74"/>
      <c r="H223" s="22"/>
      <c r="I223" s="51"/>
      <c r="J223" s="23"/>
      <c r="K223" s="24"/>
      <c r="L223" s="25"/>
      <c r="M223" s="26"/>
      <c r="N223" s="26"/>
      <c r="O223" s="24"/>
      <c r="P223" s="27"/>
      <c r="Q223" s="24"/>
      <c r="R223" s="123"/>
    </row>
    <row r="224" spans="1:18" x14ac:dyDescent="0.35">
      <c r="A224" s="71" t="str">
        <f>IF(TRIM(G224)&lt;&gt;"",COUNTA(G$11:$G224)&amp;"","")</f>
        <v/>
      </c>
      <c r="B224" s="304"/>
      <c r="C224" s="304"/>
      <c r="D224" s="34"/>
      <c r="E224" s="267" t="s">
        <v>625</v>
      </c>
      <c r="F224" s="73">
        <f>((F147+F148)*48+(F149+F150)*32+(F151*15))-F164</f>
        <v>26679.470000000005</v>
      </c>
      <c r="G224" s="74"/>
      <c r="H224" s="22"/>
      <c r="I224" s="51"/>
      <c r="J224" s="23"/>
      <c r="K224" s="24"/>
      <c r="L224" s="25"/>
      <c r="M224" s="26"/>
      <c r="N224" s="26"/>
      <c r="O224" s="24"/>
      <c r="P224" s="27"/>
      <c r="Q224" s="24"/>
      <c r="R224" s="123"/>
    </row>
    <row r="225" spans="1:18" ht="46.5" x14ac:dyDescent="0.35">
      <c r="A225" s="71" t="str">
        <f>IF(TRIM(G225)&lt;&gt;"",COUNTA(G$11:$G225)&amp;"","")</f>
        <v>123</v>
      </c>
      <c r="B225" s="304"/>
      <c r="C225" s="304"/>
      <c r="D225" s="34"/>
      <c r="E225" s="271" t="s">
        <v>624</v>
      </c>
      <c r="F225" s="73">
        <f>(F224/250)+(F224/400)</f>
        <v>173.41655500000002</v>
      </c>
      <c r="G225" s="74" t="s">
        <v>192</v>
      </c>
      <c r="H225" s="22">
        <v>0</v>
      </c>
      <c r="I225" s="51">
        <f t="shared" ref="I225" si="359">IF(F225=0,"",F225+(F225*H225))</f>
        <v>173.41655500000002</v>
      </c>
      <c r="J225" s="23">
        <f>400*0.4</f>
        <v>160</v>
      </c>
      <c r="K225" s="24">
        <f t="shared" ref="K225" si="360">IF(F225=0,"",J225*I225)</f>
        <v>27746.648800000003</v>
      </c>
      <c r="L225" s="25">
        <f>IF(F225=0,"",L$144)</f>
        <v>76</v>
      </c>
      <c r="M225" s="26">
        <f>0.02*400</f>
        <v>8</v>
      </c>
      <c r="N225" s="26">
        <f t="shared" ref="N225" si="361">IF(F225=0,"",M225*I225)</f>
        <v>1387.3324400000001</v>
      </c>
      <c r="O225" s="24">
        <f t="shared" ref="O225" si="362">IF(F225=0,"",N225*L225)</f>
        <v>105437.26544000002</v>
      </c>
      <c r="P225" s="27">
        <f t="shared" ref="P225" si="363">IF(F225=0,"",(K225+O225)/I225)</f>
        <v>768</v>
      </c>
      <c r="Q225" s="24">
        <f t="shared" ref="Q225" si="364">IF(F225=0,"",(P225*I225))</f>
        <v>133183.91424000001</v>
      </c>
      <c r="R225" s="123"/>
    </row>
    <row r="226" spans="1:18" x14ac:dyDescent="0.35">
      <c r="A226" s="71" t="str">
        <f>IF(TRIM(G226)&lt;&gt;"",COUNTA(G$11:$G226)&amp;"","")</f>
        <v/>
      </c>
      <c r="B226" s="304"/>
      <c r="C226" s="304"/>
      <c r="D226" s="34"/>
      <c r="E226" s="69"/>
      <c r="F226" s="73"/>
      <c r="G226" s="74"/>
      <c r="H226" s="22"/>
      <c r="I226" s="51"/>
      <c r="J226" s="23"/>
      <c r="K226" s="24"/>
      <c r="L226" s="25"/>
      <c r="M226" s="26"/>
      <c r="N226" s="26"/>
      <c r="O226" s="24"/>
      <c r="P226" s="27"/>
      <c r="Q226" s="24"/>
      <c r="R226" s="123"/>
    </row>
    <row r="227" spans="1:18" x14ac:dyDescent="0.35">
      <c r="A227" s="71" t="str">
        <f>IF(TRIM(G227)&lt;&gt;"",COUNTA(G$11:$G227)&amp;"","")</f>
        <v/>
      </c>
      <c r="B227" s="304"/>
      <c r="C227" s="304"/>
      <c r="D227" s="34"/>
      <c r="E227" s="267" t="s">
        <v>627</v>
      </c>
      <c r="F227" s="73">
        <f>(F155+F156+F157)*32</f>
        <v>6994.8600000000006</v>
      </c>
      <c r="G227" s="74"/>
      <c r="H227" s="22"/>
      <c r="I227" s="51"/>
      <c r="J227" s="23"/>
      <c r="K227" s="24"/>
      <c r="L227" s="25"/>
      <c r="M227" s="26"/>
      <c r="N227" s="26"/>
      <c r="O227" s="24"/>
      <c r="P227" s="27"/>
      <c r="Q227" s="24"/>
      <c r="R227" s="123"/>
    </row>
    <row r="228" spans="1:18" ht="46.5" x14ac:dyDescent="0.35">
      <c r="A228" s="71" t="str">
        <f>IF(TRIM(G228)&lt;&gt;"",COUNTA(G$11:$G228)&amp;"","")</f>
        <v>124</v>
      </c>
      <c r="B228" s="304"/>
      <c r="C228" s="304"/>
      <c r="D228" s="34"/>
      <c r="E228" s="271" t="s">
        <v>626</v>
      </c>
      <c r="F228" s="73">
        <f>(F227/250)+(F227/400)</f>
        <v>45.466590000000004</v>
      </c>
      <c r="G228" s="74" t="s">
        <v>192</v>
      </c>
      <c r="H228" s="22">
        <v>0</v>
      </c>
      <c r="I228" s="51">
        <f t="shared" ref="I228" si="365">IF(F228=0,"",F228+(F228*H228))</f>
        <v>45.466590000000004</v>
      </c>
      <c r="J228" s="23">
        <f>400*0.4</f>
        <v>160</v>
      </c>
      <c r="K228" s="24">
        <f t="shared" ref="K228" si="366">IF(F228=0,"",J228*I228)</f>
        <v>7274.6544000000004</v>
      </c>
      <c r="L228" s="25">
        <f>IF(F228=0,"",L$144)</f>
        <v>76</v>
      </c>
      <c r="M228" s="26">
        <f>0.02*400</f>
        <v>8</v>
      </c>
      <c r="N228" s="26">
        <f t="shared" ref="N228" si="367">IF(F228=0,"",M228*I228)</f>
        <v>363.73272000000003</v>
      </c>
      <c r="O228" s="24">
        <f t="shared" ref="O228" si="368">IF(F228=0,"",N228*L228)</f>
        <v>27643.686720000002</v>
      </c>
      <c r="P228" s="27">
        <f t="shared" ref="P228" si="369">IF(F228=0,"",(K228+O228)/I228)</f>
        <v>768</v>
      </c>
      <c r="Q228" s="24">
        <f t="shared" ref="Q228" si="370">IF(F228=0,"",(P228*I228))</f>
        <v>34918.341120000005</v>
      </c>
      <c r="R228" s="123"/>
    </row>
    <row r="229" spans="1:18" x14ac:dyDescent="0.35">
      <c r="A229" s="71" t="str">
        <f>IF(TRIM(G229)&lt;&gt;"",COUNTA(G$11:$G229)&amp;"","")</f>
        <v/>
      </c>
      <c r="B229" s="304"/>
      <c r="C229" s="304"/>
      <c r="D229" s="34"/>
      <c r="E229" s="69"/>
      <c r="F229" s="73"/>
      <c r="G229" s="74"/>
      <c r="H229" s="22"/>
      <c r="I229" s="51"/>
      <c r="J229" s="23"/>
      <c r="K229" s="24"/>
      <c r="L229" s="25"/>
      <c r="M229" s="26"/>
      <c r="N229" s="26"/>
      <c r="O229" s="24"/>
      <c r="P229" s="27"/>
      <c r="Q229" s="24"/>
      <c r="R229" s="123"/>
    </row>
    <row r="230" spans="1:18" x14ac:dyDescent="0.35">
      <c r="A230" s="71" t="str">
        <f>IF(TRIM(G230)&lt;&gt;"",COUNTA(G$11:$G230)&amp;"","")</f>
        <v/>
      </c>
      <c r="B230" s="304"/>
      <c r="C230" s="304"/>
      <c r="D230" s="34"/>
      <c r="E230" s="256" t="s">
        <v>199</v>
      </c>
      <c r="F230" s="73"/>
      <c r="G230" s="74"/>
      <c r="H230" s="22" t="str">
        <f t="shared" ref="H230" si="371">IF(F230=0,"",0)</f>
        <v/>
      </c>
      <c r="I230" s="51" t="str">
        <f t="shared" si="341"/>
        <v/>
      </c>
      <c r="J230" s="23" t="str">
        <f t="shared" ref="J230" si="372">IF(F230=0,"",0)</f>
        <v/>
      </c>
      <c r="K230" s="24" t="str">
        <f t="shared" ref="K230" si="373">IF(F230=0,"",J230*I230)</f>
        <v/>
      </c>
      <c r="L230" s="25" t="str">
        <f>IF(F230=0,"",L$144)</f>
        <v/>
      </c>
      <c r="M230" s="26" t="str">
        <f t="shared" ref="M230" si="374">IF(F230=0,"",0)</f>
        <v/>
      </c>
      <c r="N230" s="26" t="str">
        <f t="shared" si="343"/>
        <v/>
      </c>
      <c r="O230" s="24" t="str">
        <f t="shared" si="344"/>
        <v/>
      </c>
      <c r="P230" s="27" t="str">
        <f t="shared" si="345"/>
        <v/>
      </c>
      <c r="Q230" s="24" t="str">
        <f t="shared" si="346"/>
        <v/>
      </c>
      <c r="R230" s="123"/>
    </row>
    <row r="231" spans="1:18" x14ac:dyDescent="0.35">
      <c r="A231" s="71" t="str">
        <f>IF(TRIM(G231)&lt;&gt;"",COUNTA(G$11:$G231)&amp;"","")</f>
        <v>125</v>
      </c>
      <c r="B231" s="304"/>
      <c r="C231" s="304"/>
      <c r="D231" s="34"/>
      <c r="E231" s="56" t="s">
        <v>505</v>
      </c>
      <c r="F231" s="73">
        <v>128</v>
      </c>
      <c r="G231" s="74" t="s">
        <v>154</v>
      </c>
      <c r="H231" s="22">
        <v>0.1</v>
      </c>
      <c r="I231" s="51">
        <f t="shared" si="333"/>
        <v>140.80000000000001</v>
      </c>
      <c r="J231" s="23">
        <v>4.8</v>
      </c>
      <c r="K231" s="24">
        <f t="shared" si="335"/>
        <v>675.84</v>
      </c>
      <c r="L231" s="25">
        <f>IF(F231=0,"",L$144)</f>
        <v>76</v>
      </c>
      <c r="M231" s="26">
        <v>0.185</v>
      </c>
      <c r="N231" s="26">
        <f t="shared" si="337"/>
        <v>26.048000000000002</v>
      </c>
      <c r="O231" s="24">
        <f t="shared" si="338"/>
        <v>1979.6480000000001</v>
      </c>
      <c r="P231" s="27">
        <f t="shared" si="339"/>
        <v>18.86</v>
      </c>
      <c r="Q231" s="24">
        <f t="shared" si="340"/>
        <v>2655.4880000000003</v>
      </c>
      <c r="R231" s="123"/>
    </row>
    <row r="232" spans="1:18" x14ac:dyDescent="0.35">
      <c r="A232" s="71" t="str">
        <f>IF(TRIM(G232)&lt;&gt;"",COUNTA(G$11:$G232)&amp;"","")</f>
        <v>126</v>
      </c>
      <c r="B232" s="305"/>
      <c r="C232" s="305"/>
      <c r="D232" s="34"/>
      <c r="E232" s="56" t="s">
        <v>205</v>
      </c>
      <c r="F232" s="73">
        <f>27*1.15</f>
        <v>31.049999999999997</v>
      </c>
      <c r="G232" s="74" t="s">
        <v>154</v>
      </c>
      <c r="H232" s="22">
        <v>0.1</v>
      </c>
      <c r="I232" s="51">
        <f t="shared" ref="I232" si="375">IF(F232=0,"",F232+(F232*H232))</f>
        <v>34.154999999999994</v>
      </c>
      <c r="J232" s="23">
        <v>1.1000000000000001</v>
      </c>
      <c r="K232" s="24">
        <f t="shared" ref="K232" si="376">IF(F232=0,"",J232*I232)</f>
        <v>37.570499999999996</v>
      </c>
      <c r="L232" s="25">
        <f t="shared" ref="L232" si="377">IF(F232=0,"",L$144)</f>
        <v>76</v>
      </c>
      <c r="M232" s="26">
        <v>0.04</v>
      </c>
      <c r="N232" s="26">
        <f t="shared" ref="N232" si="378">IF(F232=0,"",M232*I232)</f>
        <v>1.3661999999999999</v>
      </c>
      <c r="O232" s="24">
        <f t="shared" ref="O232" si="379">IF(F232=0,"",N232*L232)</f>
        <v>103.8312</v>
      </c>
      <c r="P232" s="27">
        <f t="shared" ref="P232" si="380">IF(F232=0,"",(K232+O232)/I232)</f>
        <v>4.1400000000000006</v>
      </c>
      <c r="Q232" s="24">
        <f t="shared" ref="Q232" si="381">IF(F232=0,"",(P232*I232))</f>
        <v>141.40170000000001</v>
      </c>
      <c r="R232" s="123"/>
    </row>
    <row r="233" spans="1:18" ht="15" thickBot="1" x14ac:dyDescent="0.4">
      <c r="A233" s="71" t="str">
        <f>IF(TRIM(G233)&lt;&gt;"",COUNTA(G$11:$G233)&amp;"","")</f>
        <v/>
      </c>
      <c r="B233" s="72"/>
      <c r="C233" s="72"/>
      <c r="D233" s="35"/>
      <c r="E233" s="69"/>
      <c r="F233" s="73"/>
      <c r="G233" s="74"/>
      <c r="H233" s="22" t="str">
        <f t="shared" ref="H233" si="382">IF(F233=0,"",0)</f>
        <v/>
      </c>
      <c r="I233" s="51" t="str">
        <f t="shared" si="333"/>
        <v/>
      </c>
      <c r="J233" s="23" t="str">
        <f t="shared" si="334"/>
        <v/>
      </c>
      <c r="K233" s="24" t="str">
        <f t="shared" si="335"/>
        <v/>
      </c>
      <c r="L233" s="25" t="str">
        <f>IF(F233=0,"",L$144)</f>
        <v/>
      </c>
      <c r="M233" s="26" t="str">
        <f t="shared" si="336"/>
        <v/>
      </c>
      <c r="N233" s="26" t="str">
        <f t="shared" si="337"/>
        <v/>
      </c>
      <c r="O233" s="24" t="str">
        <f t="shared" si="338"/>
        <v/>
      </c>
      <c r="P233" s="27" t="str">
        <f t="shared" si="339"/>
        <v/>
      </c>
      <c r="Q233" s="24" t="str">
        <f t="shared" si="340"/>
        <v/>
      </c>
      <c r="R233" s="123"/>
    </row>
    <row r="234" spans="1:18" s="2" customFormat="1" ht="16" thickBot="1" x14ac:dyDescent="0.4">
      <c r="A234" s="84" t="str">
        <f>IF(TRIM(G234)&lt;&gt;"",COUNTA(G$11:$G234)&amp;"","")</f>
        <v/>
      </c>
      <c r="B234" s="1"/>
      <c r="C234" s="1"/>
      <c r="D234" s="20"/>
      <c r="E234" s="19"/>
      <c r="F234" s="179"/>
      <c r="G234" s="190"/>
      <c r="H234" s="85" t="s">
        <v>12</v>
      </c>
      <c r="I234" s="86"/>
      <c r="J234" s="87">
        <f>SUM(K$145:K$233)</f>
        <v>116233.362031625</v>
      </c>
      <c r="K234" s="311" t="s">
        <v>13</v>
      </c>
      <c r="L234" s="312"/>
      <c r="M234" s="88">
        <f>SUM(O$145:O$233)</f>
        <v>324646.43273640244</v>
      </c>
      <c r="N234" s="311" t="s">
        <v>42</v>
      </c>
      <c r="O234" s="312"/>
      <c r="P234" s="89">
        <f>SUM(N$145:N$233)</f>
        <v>4271.6635886368758</v>
      </c>
      <c r="Q234" s="191" t="s">
        <v>187</v>
      </c>
      <c r="R234" s="88">
        <f>SUM(Q$145:Q$233)</f>
        <v>440879.79476802761</v>
      </c>
    </row>
    <row r="235" spans="1:18" ht="25" customHeight="1" thickBot="1" x14ac:dyDescent="0.4">
      <c r="A235" s="181" t="str">
        <f>IF(TRIM(G235)&lt;&gt;"",COUNTA(G$11:$G235)&amp;"","")</f>
        <v/>
      </c>
      <c r="B235" s="182"/>
      <c r="C235" s="183" t="s">
        <v>120</v>
      </c>
      <c r="D235" s="193" t="s">
        <v>53</v>
      </c>
      <c r="E235" s="193" t="s">
        <v>54</v>
      </c>
      <c r="F235" s="194"/>
      <c r="G235" s="184"/>
      <c r="H235" s="182"/>
      <c r="I235" s="184"/>
      <c r="J235" s="182"/>
      <c r="K235" s="182"/>
      <c r="L235" s="202">
        <v>78</v>
      </c>
      <c r="M235" s="182"/>
      <c r="N235" s="182"/>
      <c r="O235" s="182"/>
      <c r="P235" s="182"/>
      <c r="Q235" s="182"/>
      <c r="R235" s="185"/>
    </row>
    <row r="236" spans="1:18" s="18" customFormat="1" ht="19.25" customHeight="1" x14ac:dyDescent="0.35">
      <c r="A236" s="71" t="str">
        <f>IF(TRIM(G236)&lt;&gt;"",COUNTA(G$11:$G236)&amp;"","")</f>
        <v/>
      </c>
      <c r="B236" s="33"/>
      <c r="C236" s="33"/>
      <c r="D236" s="207" t="s">
        <v>182</v>
      </c>
      <c r="E236" s="205" t="s">
        <v>89</v>
      </c>
      <c r="F236" s="73"/>
      <c r="G236" s="74"/>
      <c r="H236" s="22" t="str">
        <f t="shared" ref="H236" si="383">IF(F236=0,"",0)</f>
        <v/>
      </c>
      <c r="I236" s="51" t="str">
        <f t="shared" ref="I236:I242" si="384">IF(F236=0,"",F236+(F236*H236))</f>
        <v/>
      </c>
      <c r="J236" s="23" t="str">
        <f t="shared" ref="J236" si="385">IF(F236=0,"",0)</f>
        <v/>
      </c>
      <c r="K236" s="24" t="str">
        <f t="shared" ref="K236:K242" si="386">IF(F236=0,"",J236*I236)</f>
        <v/>
      </c>
      <c r="L236" s="25" t="str">
        <f>IF(F236=0,"",L$235)</f>
        <v/>
      </c>
      <c r="M236" s="26" t="str">
        <f t="shared" ref="M236" si="387">IF(F236=0,"",0)</f>
        <v/>
      </c>
      <c r="N236" s="26" t="str">
        <f t="shared" ref="N236:N242" si="388">IF(F236=0,"",M236*I236)</f>
        <v/>
      </c>
      <c r="O236" s="24" t="str">
        <f t="shared" ref="O236:O242" si="389">IF(F236=0,"",N236*L236)</f>
        <v/>
      </c>
      <c r="P236" s="27" t="str">
        <f t="shared" ref="P236:P242" si="390">IF(F236=0,"",(K236+O236)/I236)</f>
        <v/>
      </c>
      <c r="Q236" s="24" t="str">
        <f t="shared" ref="Q236:Q242" si="391">IF(F236=0,"",(P236*I236))</f>
        <v/>
      </c>
      <c r="R236" s="125"/>
    </row>
    <row r="237" spans="1:18" x14ac:dyDescent="0.35">
      <c r="A237" s="71" t="str">
        <f>IF(TRIM(G237)&lt;&gt;"",COUNTA(G$11:$G237)&amp;"","")</f>
        <v>127</v>
      </c>
      <c r="B237" s="303" t="s">
        <v>628</v>
      </c>
      <c r="C237" s="303" t="s">
        <v>628</v>
      </c>
      <c r="D237" s="34"/>
      <c r="E237" s="56" t="s">
        <v>256</v>
      </c>
      <c r="F237" s="73">
        <v>15</v>
      </c>
      <c r="G237" s="74" t="s">
        <v>192</v>
      </c>
      <c r="H237" s="22">
        <v>0</v>
      </c>
      <c r="I237" s="51">
        <f t="shared" si="384"/>
        <v>15</v>
      </c>
      <c r="J237" s="23">
        <v>55</v>
      </c>
      <c r="K237" s="24">
        <f t="shared" si="386"/>
        <v>825</v>
      </c>
      <c r="L237" s="25">
        <f t="shared" ref="L237:L242" si="392">IF(F237=0,"",L$235)</f>
        <v>78</v>
      </c>
      <c r="M237" s="26">
        <v>0.45650000000000002</v>
      </c>
      <c r="N237" s="26">
        <f t="shared" si="388"/>
        <v>6.8475000000000001</v>
      </c>
      <c r="O237" s="24">
        <f t="shared" si="389"/>
        <v>534.10500000000002</v>
      </c>
      <c r="P237" s="27">
        <f t="shared" si="390"/>
        <v>90.606999999999999</v>
      </c>
      <c r="Q237" s="24">
        <f t="shared" si="391"/>
        <v>1359.105</v>
      </c>
      <c r="R237" s="123"/>
    </row>
    <row r="238" spans="1:18" x14ac:dyDescent="0.35">
      <c r="A238" s="71" t="str">
        <f>IF(TRIM(G238)&lt;&gt;"",COUNTA(G$11:$G238)&amp;"","")</f>
        <v>128</v>
      </c>
      <c r="B238" s="304"/>
      <c r="C238" s="304"/>
      <c r="D238" s="34"/>
      <c r="E238" s="56" t="s">
        <v>257</v>
      </c>
      <c r="F238" s="73">
        <v>10</v>
      </c>
      <c r="G238" s="74" t="s">
        <v>192</v>
      </c>
      <c r="H238" s="22">
        <v>0</v>
      </c>
      <c r="I238" s="51">
        <f t="shared" si="384"/>
        <v>10</v>
      </c>
      <c r="J238" s="23">
        <v>50</v>
      </c>
      <c r="K238" s="24">
        <f t="shared" si="386"/>
        <v>500</v>
      </c>
      <c r="L238" s="25">
        <f t="shared" si="392"/>
        <v>78</v>
      </c>
      <c r="M238" s="26">
        <v>0.41499999999999998</v>
      </c>
      <c r="N238" s="26">
        <f t="shared" si="388"/>
        <v>4.1499999999999995</v>
      </c>
      <c r="O238" s="24">
        <f t="shared" si="389"/>
        <v>323.69999999999993</v>
      </c>
      <c r="P238" s="27">
        <f t="shared" si="390"/>
        <v>82.36999999999999</v>
      </c>
      <c r="Q238" s="24">
        <f t="shared" si="391"/>
        <v>823.69999999999993</v>
      </c>
      <c r="R238" s="123"/>
    </row>
    <row r="239" spans="1:18" x14ac:dyDescent="0.35">
      <c r="A239" s="71" t="str">
        <f>IF(TRIM(G239)&lt;&gt;"",COUNTA(G$11:$G239)&amp;"","")</f>
        <v>129</v>
      </c>
      <c r="B239" s="304"/>
      <c r="C239" s="304"/>
      <c r="D239" s="34"/>
      <c r="E239" s="56" t="s">
        <v>258</v>
      </c>
      <c r="F239" s="73">
        <v>15</v>
      </c>
      <c r="G239" s="74" t="s">
        <v>192</v>
      </c>
      <c r="H239" s="22">
        <v>0</v>
      </c>
      <c r="I239" s="51">
        <f t="shared" si="384"/>
        <v>15</v>
      </c>
      <c r="J239" s="23">
        <v>38</v>
      </c>
      <c r="K239" s="24">
        <f t="shared" si="386"/>
        <v>570</v>
      </c>
      <c r="L239" s="25">
        <f t="shared" si="392"/>
        <v>78</v>
      </c>
      <c r="M239" s="26">
        <v>0.31540000000000001</v>
      </c>
      <c r="N239" s="26">
        <f t="shared" si="388"/>
        <v>4.7309999999999999</v>
      </c>
      <c r="O239" s="24">
        <f t="shared" si="389"/>
        <v>369.01799999999997</v>
      </c>
      <c r="P239" s="27">
        <f t="shared" si="390"/>
        <v>62.601199999999999</v>
      </c>
      <c r="Q239" s="24">
        <f t="shared" si="391"/>
        <v>939.01800000000003</v>
      </c>
      <c r="R239" s="123"/>
    </row>
    <row r="240" spans="1:18" ht="29" x14ac:dyDescent="0.35">
      <c r="A240" s="71" t="str">
        <f>IF(TRIM(G240)&lt;&gt;"",COUNTA(G$11:$G240)&amp;"","")</f>
        <v>130</v>
      </c>
      <c r="B240" s="304"/>
      <c r="C240" s="304"/>
      <c r="D240" s="34"/>
      <c r="E240" s="56" t="s">
        <v>263</v>
      </c>
      <c r="F240" s="73">
        <v>15</v>
      </c>
      <c r="G240" s="74" t="s">
        <v>192</v>
      </c>
      <c r="H240" s="22">
        <v>0</v>
      </c>
      <c r="I240" s="51">
        <f t="shared" si="384"/>
        <v>15</v>
      </c>
      <c r="J240" s="23">
        <v>145</v>
      </c>
      <c r="K240" s="24">
        <f t="shared" si="386"/>
        <v>2175</v>
      </c>
      <c r="L240" s="25">
        <f t="shared" si="392"/>
        <v>78</v>
      </c>
      <c r="M240" s="26">
        <v>1.2035</v>
      </c>
      <c r="N240" s="26">
        <f t="shared" si="388"/>
        <v>18.052500000000002</v>
      </c>
      <c r="O240" s="24">
        <f t="shared" si="389"/>
        <v>1408.0950000000003</v>
      </c>
      <c r="P240" s="27">
        <f t="shared" si="390"/>
        <v>238.87300000000002</v>
      </c>
      <c r="Q240" s="24">
        <f t="shared" si="391"/>
        <v>3583.0950000000003</v>
      </c>
      <c r="R240" s="123"/>
    </row>
    <row r="241" spans="1:18" x14ac:dyDescent="0.35">
      <c r="A241" s="71" t="str">
        <f>IF(TRIM(G241)&lt;&gt;"",COUNTA(G$11:$G241)&amp;"","")</f>
        <v>131</v>
      </c>
      <c r="B241" s="304"/>
      <c r="C241" s="304"/>
      <c r="D241" s="34"/>
      <c r="E241" s="56" t="s">
        <v>259</v>
      </c>
      <c r="F241" s="73">
        <v>15</v>
      </c>
      <c r="G241" s="74" t="s">
        <v>192</v>
      </c>
      <c r="H241" s="22">
        <v>0</v>
      </c>
      <c r="I241" s="51">
        <f t="shared" si="384"/>
        <v>15</v>
      </c>
      <c r="J241" s="23">
        <v>185</v>
      </c>
      <c r="K241" s="24">
        <f t="shared" si="386"/>
        <v>2775</v>
      </c>
      <c r="L241" s="25">
        <f t="shared" si="392"/>
        <v>78</v>
      </c>
      <c r="M241" s="26">
        <v>1.5355000000000001</v>
      </c>
      <c r="N241" s="26">
        <f t="shared" si="388"/>
        <v>23.032500000000002</v>
      </c>
      <c r="O241" s="24">
        <f t="shared" si="389"/>
        <v>1796.5350000000001</v>
      </c>
      <c r="P241" s="27">
        <f t="shared" si="390"/>
        <v>304.76900000000001</v>
      </c>
      <c r="Q241" s="24">
        <f t="shared" si="391"/>
        <v>4571.5349999999999</v>
      </c>
      <c r="R241" s="123"/>
    </row>
    <row r="242" spans="1:18" x14ac:dyDescent="0.35">
      <c r="A242" s="71" t="str">
        <f>IF(TRIM(G242)&lt;&gt;"",COUNTA(G$11:$G242)&amp;"","")</f>
        <v>132</v>
      </c>
      <c r="B242" s="304"/>
      <c r="C242" s="304"/>
      <c r="D242" s="34"/>
      <c r="E242" s="56" t="s">
        <v>260</v>
      </c>
      <c r="F242" s="73">
        <v>15</v>
      </c>
      <c r="G242" s="74" t="s">
        <v>192</v>
      </c>
      <c r="H242" s="22">
        <v>0</v>
      </c>
      <c r="I242" s="51">
        <f t="shared" si="384"/>
        <v>15</v>
      </c>
      <c r="J242" s="23">
        <v>45</v>
      </c>
      <c r="K242" s="24">
        <f t="shared" si="386"/>
        <v>675</v>
      </c>
      <c r="L242" s="25">
        <f t="shared" si="392"/>
        <v>78</v>
      </c>
      <c r="M242" s="26">
        <v>0.3735</v>
      </c>
      <c r="N242" s="26">
        <f t="shared" si="388"/>
        <v>5.6025</v>
      </c>
      <c r="O242" s="24">
        <f t="shared" si="389"/>
        <v>436.995</v>
      </c>
      <c r="P242" s="27">
        <f t="shared" si="390"/>
        <v>74.132999999999996</v>
      </c>
      <c r="Q242" s="24">
        <f t="shared" si="391"/>
        <v>1111.9949999999999</v>
      </c>
      <c r="R242" s="123"/>
    </row>
    <row r="243" spans="1:18" x14ac:dyDescent="0.35">
      <c r="A243" s="71" t="str">
        <f>IF(TRIM(G243)&lt;&gt;"",COUNTA(G$11:$G243)&amp;"","")</f>
        <v>133</v>
      </c>
      <c r="B243" s="304"/>
      <c r="C243" s="304"/>
      <c r="D243" s="34"/>
      <c r="E243" s="56" t="s">
        <v>261</v>
      </c>
      <c r="F243" s="73">
        <v>15</v>
      </c>
      <c r="G243" s="74" t="s">
        <v>192</v>
      </c>
      <c r="H243" s="22">
        <v>0</v>
      </c>
      <c r="I243" s="51">
        <f t="shared" ref="I243:I244" si="393">IF(F243=0,"",F243+(F243*H243))</f>
        <v>15</v>
      </c>
      <c r="J243" s="23">
        <v>240</v>
      </c>
      <c r="K243" s="24">
        <f t="shared" ref="K243:K244" si="394">IF(F243=0,"",J243*I243)</f>
        <v>3600</v>
      </c>
      <c r="L243" s="25">
        <f t="shared" ref="L243:L244" si="395">IF(F243=0,"",L$235)</f>
        <v>78</v>
      </c>
      <c r="M243" s="26">
        <v>1.992</v>
      </c>
      <c r="N243" s="26">
        <f t="shared" ref="N243:N244" si="396">IF(F243=0,"",M243*I243)</f>
        <v>29.88</v>
      </c>
      <c r="O243" s="24">
        <f t="shared" ref="O243:O244" si="397">IF(F243=0,"",N243*L243)</f>
        <v>2330.64</v>
      </c>
      <c r="P243" s="27">
        <f t="shared" ref="P243:P244" si="398">IF(F243=0,"",(K243+O243)/I243)</f>
        <v>395.37599999999998</v>
      </c>
      <c r="Q243" s="24">
        <f t="shared" ref="Q243:Q244" si="399">IF(F243=0,"",(P243*I243))</f>
        <v>5930.6399999999994</v>
      </c>
      <c r="R243" s="123"/>
    </row>
    <row r="244" spans="1:18" x14ac:dyDescent="0.35">
      <c r="A244" s="71" t="str">
        <f>IF(TRIM(G244)&lt;&gt;"",COUNTA(G$11:$G244)&amp;"","")</f>
        <v>134</v>
      </c>
      <c r="B244" s="305"/>
      <c r="C244" s="305"/>
      <c r="D244" s="34"/>
      <c r="E244" s="56" t="s">
        <v>262</v>
      </c>
      <c r="F244" s="73">
        <v>10</v>
      </c>
      <c r="G244" s="74" t="s">
        <v>192</v>
      </c>
      <c r="H244" s="22">
        <v>0</v>
      </c>
      <c r="I244" s="51">
        <f t="shared" si="393"/>
        <v>10</v>
      </c>
      <c r="J244" s="23">
        <v>28</v>
      </c>
      <c r="K244" s="24">
        <f t="shared" si="394"/>
        <v>280</v>
      </c>
      <c r="L244" s="25">
        <f t="shared" si="395"/>
        <v>78</v>
      </c>
      <c r="M244" s="26">
        <v>0.2324</v>
      </c>
      <c r="N244" s="26">
        <f t="shared" si="396"/>
        <v>2.3239999999999998</v>
      </c>
      <c r="O244" s="24">
        <f t="shared" si="397"/>
        <v>181.27199999999999</v>
      </c>
      <c r="P244" s="27">
        <f t="shared" si="398"/>
        <v>46.127200000000002</v>
      </c>
      <c r="Q244" s="24">
        <f t="shared" si="399"/>
        <v>461.27200000000005</v>
      </c>
      <c r="R244" s="123"/>
    </row>
    <row r="245" spans="1:18" x14ac:dyDescent="0.35">
      <c r="A245" s="71" t="str">
        <f>IF(TRIM(G245)&lt;&gt;"",COUNTA(G$11:$G245)&amp;"","")</f>
        <v/>
      </c>
      <c r="B245" s="72"/>
      <c r="C245" s="72"/>
      <c r="D245" s="34"/>
      <c r="E245" s="56"/>
      <c r="F245" s="73"/>
      <c r="G245" s="74"/>
      <c r="H245" s="22" t="str">
        <f t="shared" ref="H245:H253" si="400">IF(F245=0,"",0)</f>
        <v/>
      </c>
      <c r="I245" s="51" t="str">
        <f t="shared" ref="I245:I253" si="401">IF(F245=0,"",F245+(F245*H245))</f>
        <v/>
      </c>
      <c r="J245" s="23"/>
      <c r="K245" s="24" t="str">
        <f t="shared" ref="K245:K253" si="402">IF(F245=0,"",J245*I245)</f>
        <v/>
      </c>
      <c r="L245" s="25" t="str">
        <f>IF(F245=0,"",L$235)</f>
        <v/>
      </c>
      <c r="M245" s="26" t="str">
        <f t="shared" ref="M245:M253" si="403">IF(F245=0,"",0)</f>
        <v/>
      </c>
      <c r="N245" s="26" t="str">
        <f t="shared" ref="N245:N253" si="404">IF(F245=0,"",M245*I245)</f>
        <v/>
      </c>
      <c r="O245" s="24" t="str">
        <f t="shared" ref="O245:O253" si="405">IF(F245=0,"",N245*L245)</f>
        <v/>
      </c>
      <c r="P245" s="27" t="str">
        <f t="shared" ref="P245:P253" si="406">IF(F245=0,"",(K245+O245)/I245)</f>
        <v/>
      </c>
      <c r="Q245" s="24" t="str">
        <f t="shared" ref="Q245:Q253" si="407">IF(F245=0,"",(P245*I245))</f>
        <v/>
      </c>
      <c r="R245" s="123"/>
    </row>
    <row r="246" spans="1:18" s="18" customFormat="1" ht="19.25" customHeight="1" x14ac:dyDescent="0.35">
      <c r="A246" s="71" t="str">
        <f>IF(TRIM(G246)&lt;&gt;"",COUNTA(G$11:$G246)&amp;"","")</f>
        <v/>
      </c>
      <c r="B246" s="33"/>
      <c r="C246" s="33"/>
      <c r="D246" s="207" t="s">
        <v>91</v>
      </c>
      <c r="E246" s="205" t="s">
        <v>90</v>
      </c>
      <c r="F246" s="73"/>
      <c r="G246" s="74"/>
      <c r="H246" s="22" t="str">
        <f t="shared" si="400"/>
        <v/>
      </c>
      <c r="I246" s="51" t="str">
        <f t="shared" si="401"/>
        <v/>
      </c>
      <c r="J246" s="23"/>
      <c r="K246" s="24" t="str">
        <f t="shared" si="402"/>
        <v/>
      </c>
      <c r="L246" s="25" t="str">
        <f>IF(F246=0,"",L$235)</f>
        <v/>
      </c>
      <c r="M246" s="26" t="str">
        <f t="shared" si="403"/>
        <v/>
      </c>
      <c r="N246" s="26" t="str">
        <f t="shared" si="404"/>
        <v/>
      </c>
      <c r="O246" s="24" t="str">
        <f t="shared" si="405"/>
        <v/>
      </c>
      <c r="P246" s="27" t="str">
        <f t="shared" si="406"/>
        <v/>
      </c>
      <c r="Q246" s="24" t="str">
        <f t="shared" si="407"/>
        <v/>
      </c>
      <c r="R246" s="125"/>
    </row>
    <row r="247" spans="1:18" x14ac:dyDescent="0.35">
      <c r="A247" s="71" t="str">
        <f>IF(TRIM(G247)&lt;&gt;"",COUNTA(G$11:$G247)&amp;"","")</f>
        <v>135</v>
      </c>
      <c r="B247" s="303" t="s">
        <v>628</v>
      </c>
      <c r="C247" s="303" t="s">
        <v>628</v>
      </c>
      <c r="D247" s="34"/>
      <c r="E247" s="56" t="s">
        <v>264</v>
      </c>
      <c r="F247" s="73">
        <v>74.3</v>
      </c>
      <c r="G247" s="74" t="s">
        <v>154</v>
      </c>
      <c r="H247" s="22">
        <v>0.1</v>
      </c>
      <c r="I247" s="51">
        <f t="shared" si="401"/>
        <v>81.72999999999999</v>
      </c>
      <c r="J247" s="23">
        <v>120</v>
      </c>
      <c r="K247" s="24">
        <f t="shared" si="402"/>
        <v>9807.5999999999985</v>
      </c>
      <c r="L247" s="25">
        <f>IF(F247=0,"",L$235)</f>
        <v>78</v>
      </c>
      <c r="M247" s="26">
        <v>0.6</v>
      </c>
      <c r="N247" s="26">
        <f t="shared" si="404"/>
        <v>49.03799999999999</v>
      </c>
      <c r="O247" s="24">
        <f t="shared" si="405"/>
        <v>3824.963999999999</v>
      </c>
      <c r="P247" s="27">
        <f t="shared" si="406"/>
        <v>166.8</v>
      </c>
      <c r="Q247" s="24">
        <f t="shared" si="407"/>
        <v>13632.563999999998</v>
      </c>
      <c r="R247" s="123"/>
    </row>
    <row r="248" spans="1:18" x14ac:dyDescent="0.35">
      <c r="A248" s="71" t="str">
        <f>IF(TRIM(G248)&lt;&gt;"",COUNTA(G$11:$G248)&amp;"","")</f>
        <v>136</v>
      </c>
      <c r="B248" s="304"/>
      <c r="C248" s="304"/>
      <c r="D248" s="34"/>
      <c r="E248" s="56" t="s">
        <v>265</v>
      </c>
      <c r="F248" s="73">
        <v>60.8</v>
      </c>
      <c r="G248" s="74" t="s">
        <v>154</v>
      </c>
      <c r="H248" s="22">
        <v>0.1</v>
      </c>
      <c r="I248" s="51">
        <f t="shared" ref="I248:I252" si="408">IF(F248=0,"",F248+(F248*H248))</f>
        <v>66.88</v>
      </c>
      <c r="J248" s="23">
        <v>85</v>
      </c>
      <c r="K248" s="24">
        <f t="shared" ref="K248:K252" si="409">IF(F248=0,"",J248*I248)</f>
        <v>5684.7999999999993</v>
      </c>
      <c r="L248" s="25">
        <f t="shared" ref="L248:L252" si="410">IF(F248=0,"",L$235)</f>
        <v>78</v>
      </c>
      <c r="M248" s="26">
        <v>0.45</v>
      </c>
      <c r="N248" s="26">
        <f t="shared" ref="N248:N252" si="411">IF(F248=0,"",M248*I248)</f>
        <v>30.096</v>
      </c>
      <c r="O248" s="24">
        <f t="shared" ref="O248:O252" si="412">IF(F248=0,"",N248*L248)</f>
        <v>2347.4879999999998</v>
      </c>
      <c r="P248" s="27">
        <f t="shared" ref="P248:P252" si="413">IF(F248=0,"",(K248+O248)/I248)</f>
        <v>120.1</v>
      </c>
      <c r="Q248" s="24">
        <f t="shared" ref="Q248:Q252" si="414">IF(F248=0,"",(P248*I248))</f>
        <v>8032.2879999999986</v>
      </c>
      <c r="R248" s="123"/>
    </row>
    <row r="249" spans="1:18" x14ac:dyDescent="0.35">
      <c r="A249" s="71" t="str">
        <f>IF(TRIM(G249)&lt;&gt;"",COUNTA(G$11:$G249)&amp;"","")</f>
        <v>137</v>
      </c>
      <c r="B249" s="304"/>
      <c r="C249" s="304"/>
      <c r="D249" s="34"/>
      <c r="E249" s="56" t="s">
        <v>266</v>
      </c>
      <c r="F249" s="73">
        <v>5</v>
      </c>
      <c r="G249" s="74" t="s">
        <v>192</v>
      </c>
      <c r="H249" s="22">
        <v>0</v>
      </c>
      <c r="I249" s="51">
        <f t="shared" si="408"/>
        <v>5</v>
      </c>
      <c r="J249" s="23">
        <v>202.26</v>
      </c>
      <c r="K249" s="24">
        <f t="shared" si="409"/>
        <v>1011.3</v>
      </c>
      <c r="L249" s="25">
        <f t="shared" si="410"/>
        <v>78</v>
      </c>
      <c r="M249" s="26">
        <v>1.1475</v>
      </c>
      <c r="N249" s="26">
        <f t="shared" si="411"/>
        <v>5.7374999999999998</v>
      </c>
      <c r="O249" s="24">
        <f t="shared" si="412"/>
        <v>447.52499999999998</v>
      </c>
      <c r="P249" s="27">
        <f t="shared" si="413"/>
        <v>291.76499999999999</v>
      </c>
      <c r="Q249" s="24">
        <f t="shared" si="414"/>
        <v>1458.8249999999998</v>
      </c>
      <c r="R249" s="123"/>
    </row>
    <row r="250" spans="1:18" x14ac:dyDescent="0.35">
      <c r="A250" s="71" t="str">
        <f>IF(TRIM(G250)&lt;&gt;"",COUNTA(G$11:$G250)&amp;"","")</f>
        <v>138</v>
      </c>
      <c r="B250" s="304"/>
      <c r="C250" s="304"/>
      <c r="D250" s="34"/>
      <c r="E250" s="56" t="s">
        <v>635</v>
      </c>
      <c r="F250" s="73">
        <v>58.64</v>
      </c>
      <c r="G250" s="74" t="s">
        <v>154</v>
      </c>
      <c r="H250" s="22">
        <v>0.1</v>
      </c>
      <c r="I250" s="51">
        <f t="shared" si="408"/>
        <v>64.504000000000005</v>
      </c>
      <c r="J250" s="23">
        <v>120</v>
      </c>
      <c r="K250" s="24">
        <f t="shared" si="409"/>
        <v>7740.4800000000005</v>
      </c>
      <c r="L250" s="25">
        <f>IF(F250=0,"",L$235)</f>
        <v>78</v>
      </c>
      <c r="M250" s="26">
        <v>0.6</v>
      </c>
      <c r="N250" s="26">
        <f t="shared" si="411"/>
        <v>38.702400000000004</v>
      </c>
      <c r="O250" s="24">
        <f t="shared" si="412"/>
        <v>3018.7872000000002</v>
      </c>
      <c r="P250" s="27">
        <f t="shared" si="413"/>
        <v>166.79999999999998</v>
      </c>
      <c r="Q250" s="24">
        <f t="shared" si="414"/>
        <v>10759.2672</v>
      </c>
      <c r="R250" s="123"/>
    </row>
    <row r="251" spans="1:18" x14ac:dyDescent="0.35">
      <c r="A251" s="71" t="str">
        <f>IF(TRIM(G251)&lt;&gt;"",COUNTA(G$11:$G251)&amp;"","")</f>
        <v>139</v>
      </c>
      <c r="B251" s="304"/>
      <c r="C251" s="304"/>
      <c r="D251" s="34"/>
      <c r="E251" s="56" t="s">
        <v>636</v>
      </c>
      <c r="F251" s="73">
        <v>45.21</v>
      </c>
      <c r="G251" s="74" t="s">
        <v>154</v>
      </c>
      <c r="H251" s="22">
        <v>0.1</v>
      </c>
      <c r="I251" s="51">
        <f t="shared" si="408"/>
        <v>49.731000000000002</v>
      </c>
      <c r="J251" s="23">
        <v>134.84</v>
      </c>
      <c r="K251" s="24">
        <f t="shared" si="409"/>
        <v>6705.72804</v>
      </c>
      <c r="L251" s="25">
        <f t="shared" si="410"/>
        <v>78</v>
      </c>
      <c r="M251" s="26">
        <v>0.76500000000000001</v>
      </c>
      <c r="N251" s="26">
        <f t="shared" si="411"/>
        <v>38.044215000000001</v>
      </c>
      <c r="O251" s="24">
        <f t="shared" si="412"/>
        <v>2967.44877</v>
      </c>
      <c r="P251" s="27">
        <f t="shared" si="413"/>
        <v>194.51000000000002</v>
      </c>
      <c r="Q251" s="24">
        <f t="shared" si="414"/>
        <v>9673.1768100000008</v>
      </c>
      <c r="R251" s="123"/>
    </row>
    <row r="252" spans="1:18" x14ac:dyDescent="0.35">
      <c r="A252" s="71" t="str">
        <f>IF(TRIM(G252)&lt;&gt;"",COUNTA(G$11:$G252)&amp;"","")</f>
        <v>140</v>
      </c>
      <c r="B252" s="305"/>
      <c r="C252" s="305"/>
      <c r="D252" s="34"/>
      <c r="E252" s="56" t="s">
        <v>267</v>
      </c>
      <c r="F252" s="73">
        <v>28.65</v>
      </c>
      <c r="G252" s="74" t="s">
        <v>154</v>
      </c>
      <c r="H252" s="22">
        <v>0.1</v>
      </c>
      <c r="I252" s="51">
        <f t="shared" si="408"/>
        <v>31.515000000000001</v>
      </c>
      <c r="J252" s="23">
        <v>130</v>
      </c>
      <c r="K252" s="24">
        <f t="shared" si="409"/>
        <v>4096.95</v>
      </c>
      <c r="L252" s="25">
        <f t="shared" si="410"/>
        <v>78</v>
      </c>
      <c r="M252" s="26">
        <v>0.75</v>
      </c>
      <c r="N252" s="26">
        <f t="shared" si="411"/>
        <v>23.63625</v>
      </c>
      <c r="O252" s="24">
        <f t="shared" si="412"/>
        <v>1843.6275000000001</v>
      </c>
      <c r="P252" s="27">
        <f t="shared" si="413"/>
        <v>188.49999999999997</v>
      </c>
      <c r="Q252" s="24">
        <f t="shared" si="414"/>
        <v>5940.5774999999994</v>
      </c>
      <c r="R252" s="123"/>
    </row>
    <row r="253" spans="1:18" ht="15" thickBot="1" x14ac:dyDescent="0.4">
      <c r="A253" s="71" t="str">
        <f>IF(TRIM(G253)&lt;&gt;"",COUNTA(G$11:$G253)&amp;"","")</f>
        <v/>
      </c>
      <c r="B253" s="75"/>
      <c r="C253" s="75"/>
      <c r="D253" s="34"/>
      <c r="E253" s="76"/>
      <c r="F253" s="73"/>
      <c r="G253" s="74"/>
      <c r="H253" s="22" t="str">
        <f t="shared" si="400"/>
        <v/>
      </c>
      <c r="I253" s="51" t="str">
        <f t="shared" si="401"/>
        <v/>
      </c>
      <c r="J253" s="23"/>
      <c r="K253" s="24" t="str">
        <f t="shared" si="402"/>
        <v/>
      </c>
      <c r="L253" s="25" t="str">
        <f>IF(F253=0,"",L$235)</f>
        <v/>
      </c>
      <c r="M253" s="26" t="str">
        <f t="shared" si="403"/>
        <v/>
      </c>
      <c r="N253" s="26" t="str">
        <f t="shared" si="404"/>
        <v/>
      </c>
      <c r="O253" s="24" t="str">
        <f t="shared" si="405"/>
        <v/>
      </c>
      <c r="P253" s="27" t="str">
        <f t="shared" si="406"/>
        <v/>
      </c>
      <c r="Q253" s="24" t="str">
        <f t="shared" si="407"/>
        <v/>
      </c>
      <c r="R253" s="123"/>
    </row>
    <row r="254" spans="1:18" s="2" customFormat="1" ht="16" thickBot="1" x14ac:dyDescent="0.4">
      <c r="A254" s="84" t="str">
        <f>IF(TRIM(G254)&lt;&gt;"",COUNTA(G$11:$G254)&amp;"","")</f>
        <v/>
      </c>
      <c r="B254" s="36"/>
      <c r="C254" s="36"/>
      <c r="D254" s="37"/>
      <c r="E254" s="19"/>
      <c r="F254" s="90"/>
      <c r="G254" s="91"/>
      <c r="H254" s="85" t="s">
        <v>12</v>
      </c>
      <c r="I254" s="86"/>
      <c r="J254" s="87">
        <f>SUM(K237:K252)</f>
        <v>46446.858039999999</v>
      </c>
      <c r="K254" s="311" t="s">
        <v>13</v>
      </c>
      <c r="L254" s="312"/>
      <c r="M254" s="88">
        <f>SUM(O$236:O$253)</f>
        <v>21830.200469999996</v>
      </c>
      <c r="N254" s="311" t="s">
        <v>42</v>
      </c>
      <c r="O254" s="312"/>
      <c r="P254" s="89">
        <f>SUM(N$236:N$253)</f>
        <v>279.87436500000001</v>
      </c>
      <c r="Q254" s="191" t="s">
        <v>187</v>
      </c>
      <c r="R254" s="88">
        <f>SUM(Q$236:Q$253)</f>
        <v>68277.058510000003</v>
      </c>
    </row>
    <row r="255" spans="1:18" ht="25" customHeight="1" thickBot="1" x14ac:dyDescent="0.4">
      <c r="A255" s="181" t="str">
        <f>IF(TRIM(G255)&lt;&gt;"",COUNTA(G$11:$G255)&amp;"","")</f>
        <v/>
      </c>
      <c r="B255" s="182"/>
      <c r="C255" s="183" t="s">
        <v>120</v>
      </c>
      <c r="D255" s="193" t="s">
        <v>55</v>
      </c>
      <c r="E255" s="193" t="s">
        <v>56</v>
      </c>
      <c r="F255" s="194"/>
      <c r="G255" s="184"/>
      <c r="H255" s="182"/>
      <c r="I255" s="184"/>
      <c r="J255" s="182"/>
      <c r="K255" s="182"/>
      <c r="L255" s="202">
        <v>78</v>
      </c>
      <c r="M255" s="182"/>
      <c r="N255" s="182"/>
      <c r="O255" s="182"/>
      <c r="P255" s="182"/>
      <c r="Q255" s="182"/>
      <c r="R255" s="185"/>
    </row>
    <row r="256" spans="1:18" s="18" customFormat="1" ht="19.25" customHeight="1" x14ac:dyDescent="0.35">
      <c r="A256" s="71" t="str">
        <f>IF(TRIM(G256)&lt;&gt;"",COUNTA(G$11:$G256)&amp;"","")</f>
        <v/>
      </c>
      <c r="B256" s="33"/>
      <c r="C256" s="33"/>
      <c r="D256" s="207" t="s">
        <v>93</v>
      </c>
      <c r="E256" s="205" t="s">
        <v>92</v>
      </c>
      <c r="F256" s="73"/>
      <c r="G256" s="74"/>
      <c r="H256" s="22" t="str">
        <f t="shared" ref="H256:H257" si="415">IF(F256=0,"",0)</f>
        <v/>
      </c>
      <c r="I256" s="51" t="str">
        <f t="shared" ref="I256:I257" si="416">IF(F256=0,"",F256+(F256*H256))</f>
        <v/>
      </c>
      <c r="J256" s="23"/>
      <c r="K256" s="24" t="str">
        <f t="shared" ref="K256:K257" si="417">IF(F256=0,"",J256*I256)</f>
        <v/>
      </c>
      <c r="L256" s="25" t="str">
        <f>IF(F256=0,"",L$255)</f>
        <v/>
      </c>
      <c r="M256" s="26" t="str">
        <f t="shared" ref="M256" si="418">IF(F256=0,"",0)</f>
        <v/>
      </c>
      <c r="N256" s="26" t="str">
        <f t="shared" ref="N256:N257" si="419">IF(F256=0,"",M256*I256)</f>
        <v/>
      </c>
      <c r="O256" s="24" t="str">
        <f t="shared" ref="O256:O257" si="420">IF(F256=0,"",N256*L256)</f>
        <v/>
      </c>
      <c r="P256" s="27" t="str">
        <f t="shared" ref="P256:P257" si="421">IF(F256=0,"",(K256+O256)/I256)</f>
        <v/>
      </c>
      <c r="Q256" s="24" t="str">
        <f t="shared" ref="Q256:Q257" si="422">IF(F256=0,"",(P256*I256))</f>
        <v/>
      </c>
      <c r="R256" s="125"/>
    </row>
    <row r="257" spans="1:18" x14ac:dyDescent="0.35">
      <c r="A257" s="71" t="str">
        <f>IF(TRIM(G257)&lt;&gt;"",COUNTA(G$11:$G257)&amp;"","")</f>
        <v>141</v>
      </c>
      <c r="B257" s="303" t="s">
        <v>628</v>
      </c>
      <c r="C257" s="303" t="s">
        <v>628</v>
      </c>
      <c r="D257" s="34"/>
      <c r="E257" s="56" t="s">
        <v>268</v>
      </c>
      <c r="F257" s="73">
        <v>10</v>
      </c>
      <c r="G257" s="74" t="s">
        <v>192</v>
      </c>
      <c r="H257" s="22">
        <f t="shared" si="415"/>
        <v>0</v>
      </c>
      <c r="I257" s="51">
        <f t="shared" si="416"/>
        <v>10</v>
      </c>
      <c r="J257" s="23">
        <v>85</v>
      </c>
      <c r="K257" s="24">
        <f t="shared" si="417"/>
        <v>850</v>
      </c>
      <c r="L257" s="25">
        <f>IF(F257=0,"",L$255)</f>
        <v>78</v>
      </c>
      <c r="M257" s="26">
        <v>0.75</v>
      </c>
      <c r="N257" s="26">
        <f t="shared" si="419"/>
        <v>7.5</v>
      </c>
      <c r="O257" s="24">
        <f t="shared" si="420"/>
        <v>585</v>
      </c>
      <c r="P257" s="27">
        <f t="shared" si="421"/>
        <v>143.5</v>
      </c>
      <c r="Q257" s="24">
        <f t="shared" si="422"/>
        <v>1435</v>
      </c>
      <c r="R257" s="123"/>
    </row>
    <row r="258" spans="1:18" x14ac:dyDescent="0.35">
      <c r="A258" s="71" t="str">
        <f>IF(TRIM(G258)&lt;&gt;"",COUNTA(G$11:$G258)&amp;"","")</f>
        <v>142</v>
      </c>
      <c r="B258" s="304"/>
      <c r="C258" s="304"/>
      <c r="D258" s="34"/>
      <c r="E258" s="56" t="s">
        <v>269</v>
      </c>
      <c r="F258" s="73">
        <v>5</v>
      </c>
      <c r="G258" s="74" t="s">
        <v>192</v>
      </c>
      <c r="H258" s="22">
        <f t="shared" ref="H258:H261" si="423">IF(F258=0,"",0)</f>
        <v>0</v>
      </c>
      <c r="I258" s="51">
        <f t="shared" ref="I258:I261" si="424">IF(F258=0,"",F258+(F258*H258))</f>
        <v>5</v>
      </c>
      <c r="J258" s="23">
        <v>750</v>
      </c>
      <c r="K258" s="24">
        <f t="shared" ref="K258:K261" si="425">IF(F258=0,"",J258*I258)</f>
        <v>3750</v>
      </c>
      <c r="L258" s="25">
        <f t="shared" ref="L258:L261" si="426">IF(F258=0,"",L$255)</f>
        <v>78</v>
      </c>
      <c r="M258" s="26">
        <v>3.85</v>
      </c>
      <c r="N258" s="26">
        <f t="shared" ref="N258:N261" si="427">IF(F258=0,"",M258*I258)</f>
        <v>19.25</v>
      </c>
      <c r="O258" s="24">
        <f t="shared" ref="O258:O261" si="428">IF(F258=0,"",N258*L258)</f>
        <v>1501.5</v>
      </c>
      <c r="P258" s="27">
        <f t="shared" ref="P258:P261" si="429">IF(F258=0,"",(K258+O258)/I258)</f>
        <v>1050.3</v>
      </c>
      <c r="Q258" s="24">
        <f t="shared" ref="Q258:Q261" si="430">IF(F258=0,"",(P258*I258))</f>
        <v>5251.5</v>
      </c>
      <c r="R258" s="123"/>
    </row>
    <row r="259" spans="1:18" x14ac:dyDescent="0.35">
      <c r="A259" s="71" t="str">
        <f>IF(TRIM(G259)&lt;&gt;"",COUNTA(G$11:$G259)&amp;"","")</f>
        <v>143</v>
      </c>
      <c r="B259" s="304"/>
      <c r="C259" s="304"/>
      <c r="D259" s="34"/>
      <c r="E259" s="56" t="s">
        <v>270</v>
      </c>
      <c r="F259" s="73">
        <v>5</v>
      </c>
      <c r="G259" s="74" t="s">
        <v>192</v>
      </c>
      <c r="H259" s="22">
        <f t="shared" si="423"/>
        <v>0</v>
      </c>
      <c r="I259" s="51">
        <f t="shared" si="424"/>
        <v>5</v>
      </c>
      <c r="J259" s="23">
        <v>650</v>
      </c>
      <c r="K259" s="24">
        <f t="shared" si="425"/>
        <v>3250</v>
      </c>
      <c r="L259" s="25">
        <f t="shared" si="426"/>
        <v>78</v>
      </c>
      <c r="M259" s="26">
        <v>3.75</v>
      </c>
      <c r="N259" s="26">
        <f t="shared" si="427"/>
        <v>18.75</v>
      </c>
      <c r="O259" s="24">
        <f t="shared" si="428"/>
        <v>1462.5</v>
      </c>
      <c r="P259" s="27">
        <f t="shared" si="429"/>
        <v>942.5</v>
      </c>
      <c r="Q259" s="24">
        <f t="shared" si="430"/>
        <v>4712.5</v>
      </c>
      <c r="R259" s="123"/>
    </row>
    <row r="260" spans="1:18" x14ac:dyDescent="0.35">
      <c r="A260" s="71" t="str">
        <f>IF(TRIM(G260)&lt;&gt;"",COUNTA(G$11:$G260)&amp;"","")</f>
        <v>144</v>
      </c>
      <c r="B260" s="304"/>
      <c r="C260" s="304"/>
      <c r="D260" s="34"/>
      <c r="E260" s="56" t="s">
        <v>271</v>
      </c>
      <c r="F260" s="73">
        <v>5</v>
      </c>
      <c r="G260" s="74" t="s">
        <v>192</v>
      </c>
      <c r="H260" s="22">
        <f t="shared" si="423"/>
        <v>0</v>
      </c>
      <c r="I260" s="51">
        <f t="shared" si="424"/>
        <v>5</v>
      </c>
      <c r="J260" s="23">
        <v>1800</v>
      </c>
      <c r="K260" s="24">
        <f t="shared" si="425"/>
        <v>9000</v>
      </c>
      <c r="L260" s="25">
        <f t="shared" si="426"/>
        <v>78</v>
      </c>
      <c r="M260" s="26">
        <v>4.3600000000000003</v>
      </c>
      <c r="N260" s="26">
        <f t="shared" si="427"/>
        <v>21.8</v>
      </c>
      <c r="O260" s="24">
        <f t="shared" si="428"/>
        <v>1700.4</v>
      </c>
      <c r="P260" s="27">
        <f t="shared" si="429"/>
        <v>2140.08</v>
      </c>
      <c r="Q260" s="24">
        <f t="shared" si="430"/>
        <v>10700.4</v>
      </c>
      <c r="R260" s="123"/>
    </row>
    <row r="261" spans="1:18" x14ac:dyDescent="0.35">
      <c r="A261" s="71" t="str">
        <f>IF(TRIM(G261)&lt;&gt;"",COUNTA(G$11:$G261)&amp;"","")</f>
        <v>145</v>
      </c>
      <c r="B261" s="305"/>
      <c r="C261" s="305"/>
      <c r="D261" s="34"/>
      <c r="E261" s="56" t="s">
        <v>272</v>
      </c>
      <c r="F261" s="73">
        <v>5</v>
      </c>
      <c r="G261" s="74" t="s">
        <v>192</v>
      </c>
      <c r="H261" s="22">
        <f t="shared" si="423"/>
        <v>0</v>
      </c>
      <c r="I261" s="51">
        <f t="shared" si="424"/>
        <v>5</v>
      </c>
      <c r="J261" s="23">
        <v>3000</v>
      </c>
      <c r="K261" s="24">
        <f t="shared" si="425"/>
        <v>15000</v>
      </c>
      <c r="L261" s="25">
        <f t="shared" si="426"/>
        <v>78</v>
      </c>
      <c r="M261" s="26">
        <v>6</v>
      </c>
      <c r="N261" s="26">
        <f t="shared" si="427"/>
        <v>30</v>
      </c>
      <c r="O261" s="24">
        <f t="shared" si="428"/>
        <v>2340</v>
      </c>
      <c r="P261" s="27">
        <f t="shared" si="429"/>
        <v>3468</v>
      </c>
      <c r="Q261" s="24">
        <f t="shared" si="430"/>
        <v>17340</v>
      </c>
      <c r="R261" s="123"/>
    </row>
    <row r="262" spans="1:18" ht="15" thickBot="1" x14ac:dyDescent="0.4">
      <c r="A262" s="71" t="str">
        <f>IF(TRIM(G262)&lt;&gt;"",COUNTA(G$11:$G262)&amp;"","")</f>
        <v/>
      </c>
      <c r="B262" s="75"/>
      <c r="C262" s="75"/>
      <c r="D262" s="34"/>
      <c r="E262" s="76"/>
      <c r="F262" s="73"/>
      <c r="G262" s="74"/>
      <c r="H262" s="22" t="str">
        <f t="shared" ref="H262" si="431">IF(F262=0,"",0)</f>
        <v/>
      </c>
      <c r="I262" s="51" t="str">
        <f t="shared" ref="I262" si="432">IF(F262=0,"",F262+(F262*H262))</f>
        <v/>
      </c>
      <c r="J262" s="23" t="str">
        <f t="shared" ref="J262" si="433">IF(F262=0,"",0)</f>
        <v/>
      </c>
      <c r="K262" s="24" t="str">
        <f t="shared" ref="K262" si="434">IF(F262=0,"",J262*I262)</f>
        <v/>
      </c>
      <c r="L262" s="25" t="str">
        <f>IF(F262=0,"",L$255)</f>
        <v/>
      </c>
      <c r="M262" s="26" t="str">
        <f t="shared" ref="M262" si="435">IF(F262=0,"",0)</f>
        <v/>
      </c>
      <c r="N262" s="26" t="str">
        <f t="shared" ref="N262" si="436">IF(F262=0,"",M262*I262)</f>
        <v/>
      </c>
      <c r="O262" s="24" t="str">
        <f t="shared" ref="O262" si="437">IF(F262=0,"",N262*L262)</f>
        <v/>
      </c>
      <c r="P262" s="27" t="str">
        <f t="shared" ref="P262" si="438">IF(F262=0,"",(K262+O262)/I262)</f>
        <v/>
      </c>
      <c r="Q262" s="24" t="str">
        <f t="shared" ref="Q262" si="439">IF(F262=0,"",(P262*I262))</f>
        <v/>
      </c>
      <c r="R262" s="123"/>
    </row>
    <row r="263" spans="1:18" s="2" customFormat="1" ht="16" thickBot="1" x14ac:dyDescent="0.4">
      <c r="A263" s="84" t="str">
        <f>IF(TRIM(G263)&lt;&gt;"",COUNTA(G$11:$G263)&amp;"","")</f>
        <v/>
      </c>
      <c r="B263" s="36"/>
      <c r="C263" s="36"/>
      <c r="D263" s="37"/>
      <c r="E263" s="19"/>
      <c r="F263" s="90"/>
      <c r="G263" s="91"/>
      <c r="H263" s="85" t="s">
        <v>12</v>
      </c>
      <c r="I263" s="86"/>
      <c r="J263" s="87">
        <f>SUM(K$256:K$262)</f>
        <v>31850</v>
      </c>
      <c r="K263" s="311" t="s">
        <v>13</v>
      </c>
      <c r="L263" s="312"/>
      <c r="M263" s="88">
        <f>SUM(O$256:O$262)</f>
        <v>7589.4</v>
      </c>
      <c r="N263" s="311" t="s">
        <v>42</v>
      </c>
      <c r="O263" s="312"/>
      <c r="P263" s="89">
        <f>SUM(N$256:N$262)</f>
        <v>97.3</v>
      </c>
      <c r="Q263" s="191" t="s">
        <v>187</v>
      </c>
      <c r="R263" s="88">
        <f>SUM(Q$256:Q$262)</f>
        <v>39439.4</v>
      </c>
    </row>
    <row r="264" spans="1:18" ht="25" customHeight="1" thickBot="1" x14ac:dyDescent="0.4">
      <c r="A264" s="181" t="str">
        <f>IF(TRIM(G264)&lt;&gt;"",COUNTA(G$11:$G264)&amp;"","")</f>
        <v/>
      </c>
      <c r="B264" s="182"/>
      <c r="C264" s="183" t="s">
        <v>120</v>
      </c>
      <c r="D264" s="193" t="s">
        <v>57</v>
      </c>
      <c r="E264" s="193" t="s">
        <v>58</v>
      </c>
      <c r="F264" s="194"/>
      <c r="G264" s="184"/>
      <c r="H264" s="182"/>
      <c r="I264" s="184"/>
      <c r="J264" s="182"/>
      <c r="K264" s="182"/>
      <c r="L264" s="202">
        <v>78</v>
      </c>
      <c r="M264" s="182"/>
      <c r="N264" s="182"/>
      <c r="O264" s="182"/>
      <c r="P264" s="182"/>
      <c r="Q264" s="182"/>
      <c r="R264" s="185"/>
    </row>
    <row r="265" spans="1:18" s="18" customFormat="1" ht="19.25" customHeight="1" x14ac:dyDescent="0.35">
      <c r="A265" s="71" t="str">
        <f>IF(TRIM(G265)&lt;&gt;"",COUNTA(G$11:$G265)&amp;"","")</f>
        <v/>
      </c>
      <c r="B265" s="33"/>
      <c r="C265" s="33"/>
      <c r="D265" s="207" t="s">
        <v>95</v>
      </c>
      <c r="E265" s="205" t="s">
        <v>94</v>
      </c>
      <c r="F265" s="73"/>
      <c r="G265" s="74"/>
      <c r="H265" s="22" t="str">
        <f t="shared" ref="H265:H271" si="440">IF(F265=0,"",0)</f>
        <v/>
      </c>
      <c r="I265" s="51" t="str">
        <f t="shared" ref="I265:I271" si="441">IF(F265=0,"",F265+(F265*H265))</f>
        <v/>
      </c>
      <c r="J265" s="23" t="str">
        <f t="shared" ref="J265:J271" si="442">IF(F265=0,"",0)</f>
        <v/>
      </c>
      <c r="K265" s="24" t="str">
        <f t="shared" ref="K265:K271" si="443">IF(F265=0,"",J265*I265)</f>
        <v/>
      </c>
      <c r="L265" s="25" t="str">
        <f>IF(F265=0,"",L$264)</f>
        <v/>
      </c>
      <c r="M265" s="26" t="str">
        <f t="shared" ref="M265:M271" si="444">IF(F265=0,"",0)</f>
        <v/>
      </c>
      <c r="N265" s="26" t="str">
        <f t="shared" ref="N265:N271" si="445">IF(F265=0,"",M265*I265)</f>
        <v/>
      </c>
      <c r="O265" s="24" t="str">
        <f t="shared" ref="O265:O271" si="446">IF(F265=0,"",N265*L265)</f>
        <v/>
      </c>
      <c r="P265" s="27" t="str">
        <f t="shared" ref="P265:P271" si="447">IF(F265=0,"",(K265+O265)/I265)</f>
        <v/>
      </c>
      <c r="Q265" s="24" t="str">
        <f t="shared" ref="Q265:Q271" si="448">IF(F265=0,"",(P265*I265))</f>
        <v/>
      </c>
      <c r="R265" s="125"/>
    </row>
    <row r="266" spans="1:18" x14ac:dyDescent="0.35">
      <c r="A266" s="71" t="str">
        <f>IF(TRIM(G266)&lt;&gt;"",COUNTA(G$11:$G266)&amp;"","")</f>
        <v>146</v>
      </c>
      <c r="B266" s="303" t="s">
        <v>628</v>
      </c>
      <c r="C266" s="303" t="s">
        <v>628</v>
      </c>
      <c r="D266" s="34"/>
      <c r="E266" s="56" t="s">
        <v>273</v>
      </c>
      <c r="F266" s="73">
        <v>126.16</v>
      </c>
      <c r="G266" s="74" t="s">
        <v>141</v>
      </c>
      <c r="H266" s="22">
        <v>0.1</v>
      </c>
      <c r="I266" s="51">
        <f t="shared" si="441"/>
        <v>138.77600000000001</v>
      </c>
      <c r="J266" s="23">
        <v>71.099999999999994</v>
      </c>
      <c r="K266" s="24">
        <f t="shared" si="443"/>
        <v>9866.9735999999994</v>
      </c>
      <c r="L266" s="25">
        <f>IF(F266=0,"",L$264)</f>
        <v>78</v>
      </c>
      <c r="M266" s="26">
        <v>0.29299999999999998</v>
      </c>
      <c r="N266" s="26">
        <f t="shared" si="445"/>
        <v>40.661368000000003</v>
      </c>
      <c r="O266" s="24">
        <f t="shared" si="446"/>
        <v>3171.5867040000003</v>
      </c>
      <c r="P266" s="27">
        <f t="shared" si="447"/>
        <v>93.953999999999979</v>
      </c>
      <c r="Q266" s="24">
        <f t="shared" si="448"/>
        <v>13038.560303999999</v>
      </c>
      <c r="R266" s="123"/>
    </row>
    <row r="267" spans="1:18" x14ac:dyDescent="0.35">
      <c r="A267" s="71" t="str">
        <f>IF(TRIM(G267)&lt;&gt;"",COUNTA(G$11:$G267)&amp;"","")</f>
        <v>147</v>
      </c>
      <c r="B267" s="304"/>
      <c r="C267" s="304"/>
      <c r="D267" s="34"/>
      <c r="E267" s="56" t="s">
        <v>274</v>
      </c>
      <c r="F267" s="73">
        <v>76.92</v>
      </c>
      <c r="G267" s="74" t="s">
        <v>141</v>
      </c>
      <c r="H267" s="22">
        <v>0.1</v>
      </c>
      <c r="I267" s="51">
        <f t="shared" si="441"/>
        <v>84.611999999999995</v>
      </c>
      <c r="J267" s="23">
        <v>71.099999999999994</v>
      </c>
      <c r="K267" s="24">
        <f t="shared" si="443"/>
        <v>6015.9131999999991</v>
      </c>
      <c r="L267" s="25">
        <f>IF(F267=0,"",L$264)</f>
        <v>78</v>
      </c>
      <c r="M267" s="26">
        <v>0.29299999999999998</v>
      </c>
      <c r="N267" s="26">
        <f t="shared" si="445"/>
        <v>24.791315999999998</v>
      </c>
      <c r="O267" s="24">
        <f t="shared" si="446"/>
        <v>1933.7226479999999</v>
      </c>
      <c r="P267" s="27">
        <f t="shared" si="447"/>
        <v>93.953999999999994</v>
      </c>
      <c r="Q267" s="24">
        <f t="shared" si="448"/>
        <v>7949.635847999999</v>
      </c>
      <c r="R267" s="123"/>
    </row>
    <row r="268" spans="1:18" x14ac:dyDescent="0.35">
      <c r="A268" s="71" t="str">
        <f>IF(TRIM(G268)&lt;&gt;"",COUNTA(G$11:$G268)&amp;"","")</f>
        <v/>
      </c>
      <c r="B268" s="304"/>
      <c r="C268" s="304"/>
      <c r="D268" s="34"/>
      <c r="E268" s="261"/>
      <c r="F268" s="73"/>
      <c r="G268" s="74"/>
      <c r="H268" s="22"/>
      <c r="I268" s="51"/>
      <c r="J268" s="23"/>
      <c r="K268" s="24"/>
      <c r="L268" s="25"/>
      <c r="M268" s="26"/>
      <c r="N268" s="26"/>
      <c r="O268" s="24"/>
      <c r="P268" s="27"/>
      <c r="Q268" s="24"/>
      <c r="R268" s="123"/>
    </row>
    <row r="269" spans="1:18" s="18" customFormat="1" ht="19.25" customHeight="1" x14ac:dyDescent="0.35">
      <c r="A269" s="71" t="str">
        <f>IF(TRIM(G269)&lt;&gt;"",COUNTA(G$11:$G269)&amp;"","")</f>
        <v/>
      </c>
      <c r="B269" s="304"/>
      <c r="C269" s="304"/>
      <c r="D269" s="34"/>
      <c r="E269" s="206" t="s">
        <v>275</v>
      </c>
      <c r="F269" s="73"/>
      <c r="G269" s="74"/>
      <c r="H269" s="22" t="str">
        <f t="shared" ref="H269" si="449">IF(F269=0,"",0)</f>
        <v/>
      </c>
      <c r="I269" s="51" t="str">
        <f t="shared" ref="I269:I270" si="450">IF(F269=0,"",F269+(F269*H269))</f>
        <v/>
      </c>
      <c r="J269" s="23" t="str">
        <f t="shared" ref="J269" si="451">IF(F269=0,"",0)</f>
        <v/>
      </c>
      <c r="K269" s="24" t="str">
        <f t="shared" ref="K269:K270" si="452">IF(F269=0,"",J269*I269)</f>
        <v/>
      </c>
      <c r="L269" s="25" t="str">
        <f>IF(F269=0,"",L$264)</f>
        <v/>
      </c>
      <c r="M269" s="26" t="str">
        <f t="shared" ref="M269" si="453">IF(F269=0,"",0)</f>
        <v/>
      </c>
      <c r="N269" s="26" t="str">
        <f t="shared" ref="N269:N270" si="454">IF(F269=0,"",M269*I269)</f>
        <v/>
      </c>
      <c r="O269" s="24" t="str">
        <f t="shared" ref="O269:O270" si="455">IF(F269=0,"",N269*L269)</f>
        <v/>
      </c>
      <c r="P269" s="27" t="str">
        <f t="shared" si="447"/>
        <v/>
      </c>
      <c r="Q269" s="24" t="str">
        <f t="shared" si="448"/>
        <v/>
      </c>
      <c r="R269" s="125"/>
    </row>
    <row r="270" spans="1:18" ht="15" thickBot="1" x14ac:dyDescent="0.4">
      <c r="A270" s="71" t="str">
        <f>IF(TRIM(G270)&lt;&gt;"",COUNTA(G$11:$G270)&amp;"","")</f>
        <v>148</v>
      </c>
      <c r="B270" s="305"/>
      <c r="C270" s="305"/>
      <c r="D270" s="34"/>
      <c r="E270" s="56" t="s">
        <v>276</v>
      </c>
      <c r="F270" s="73">
        <v>53.22</v>
      </c>
      <c r="G270" s="74" t="s">
        <v>154</v>
      </c>
      <c r="H270" s="22">
        <v>0.1</v>
      </c>
      <c r="I270" s="51">
        <f t="shared" si="450"/>
        <v>58.542000000000002</v>
      </c>
      <c r="J270" s="23">
        <v>8.5</v>
      </c>
      <c r="K270" s="24">
        <f t="shared" si="452"/>
        <v>497.60700000000003</v>
      </c>
      <c r="L270" s="25">
        <f>IF(F270=0,"",L$264)</f>
        <v>78</v>
      </c>
      <c r="M270" s="26">
        <v>0.109</v>
      </c>
      <c r="N270" s="26">
        <f t="shared" si="454"/>
        <v>6.3810780000000005</v>
      </c>
      <c r="O270" s="24">
        <f t="shared" si="455"/>
        <v>497.72408400000006</v>
      </c>
      <c r="P270" s="27">
        <f t="shared" si="447"/>
        <v>17.002000000000002</v>
      </c>
      <c r="Q270" s="24">
        <f t="shared" si="448"/>
        <v>995.33108400000015</v>
      </c>
      <c r="R270" s="123"/>
    </row>
    <row r="271" spans="1:18" ht="15" thickBot="1" x14ac:dyDescent="0.4">
      <c r="A271" s="71" t="str">
        <f>IF(TRIM(G271)&lt;&gt;"",COUNTA(G$11:$G271)&amp;"","")</f>
        <v/>
      </c>
      <c r="B271" s="75"/>
      <c r="C271" s="75"/>
      <c r="D271" s="34"/>
      <c r="E271" s="76"/>
      <c r="F271" s="73"/>
      <c r="G271" s="74"/>
      <c r="H271" s="22" t="str">
        <f t="shared" si="440"/>
        <v/>
      </c>
      <c r="I271" s="51" t="str">
        <f t="shared" si="441"/>
        <v/>
      </c>
      <c r="J271" s="23" t="str">
        <f t="shared" si="442"/>
        <v/>
      </c>
      <c r="K271" s="24" t="str">
        <f t="shared" si="443"/>
        <v/>
      </c>
      <c r="L271" s="25" t="str">
        <f>IF(F271=0,"",L$264)</f>
        <v/>
      </c>
      <c r="M271" s="26" t="str">
        <f t="shared" si="444"/>
        <v/>
      </c>
      <c r="N271" s="26" t="str">
        <f t="shared" si="445"/>
        <v/>
      </c>
      <c r="O271" s="24" t="str">
        <f t="shared" si="446"/>
        <v/>
      </c>
      <c r="P271" s="27" t="str">
        <f t="shared" si="447"/>
        <v/>
      </c>
      <c r="Q271" s="24" t="str">
        <f t="shared" si="448"/>
        <v/>
      </c>
      <c r="R271" s="45"/>
    </row>
    <row r="272" spans="1:18" s="2" customFormat="1" ht="16" thickBot="1" x14ac:dyDescent="0.4">
      <c r="A272" s="84" t="str">
        <f>IF(TRIM(G272)&lt;&gt;"",COUNTA(G$11:$G272)&amp;"","")</f>
        <v/>
      </c>
      <c r="B272" s="36"/>
      <c r="C272" s="36"/>
      <c r="D272" s="37"/>
      <c r="E272" s="19"/>
      <c r="F272" s="90"/>
      <c r="G272" s="91"/>
      <c r="H272" s="85" t="s">
        <v>12</v>
      </c>
      <c r="I272" s="86"/>
      <c r="J272" s="87">
        <f>SUM(K$265:K$271)</f>
        <v>16380.493799999998</v>
      </c>
      <c r="K272" s="311" t="s">
        <v>13</v>
      </c>
      <c r="L272" s="312"/>
      <c r="M272" s="88">
        <f>SUM(O$265:O$271)</f>
        <v>5603.0334360000006</v>
      </c>
      <c r="N272" s="311" t="s">
        <v>42</v>
      </c>
      <c r="O272" s="312"/>
      <c r="P272" s="89">
        <f>SUM(N$265:N$271)</f>
        <v>71.833762000000007</v>
      </c>
      <c r="Q272" s="191" t="s">
        <v>187</v>
      </c>
      <c r="R272" s="88">
        <f>SUM(Q$265:Q$271)</f>
        <v>21983.527235999998</v>
      </c>
    </row>
    <row r="273" spans="1:18" ht="30" customHeight="1" thickBot="1" x14ac:dyDescent="0.4">
      <c r="A273" s="186" t="str">
        <f>IF(TRIM(G273)&lt;&gt;"",COUNTA(G$11:$G273)&amp;"","")</f>
        <v/>
      </c>
      <c r="B273" s="187"/>
      <c r="C273" s="188"/>
      <c r="D273" s="188"/>
      <c r="E273" s="208" t="s">
        <v>173</v>
      </c>
      <c r="F273" s="189"/>
      <c r="G273" s="189"/>
      <c r="H273" s="187"/>
      <c r="I273" s="189"/>
      <c r="J273" s="187"/>
      <c r="K273" s="187"/>
      <c r="L273" s="187"/>
      <c r="M273" s="187"/>
      <c r="N273" s="187"/>
      <c r="O273" s="187"/>
      <c r="P273" s="187"/>
      <c r="Q273" s="196"/>
      <c r="R273" s="200"/>
    </row>
    <row r="274" spans="1:18" ht="25" customHeight="1" thickBot="1" x14ac:dyDescent="0.4">
      <c r="A274" s="181" t="str">
        <f>IF(TRIM(G274)&lt;&gt;"",COUNTA(G$11:$G274)&amp;"","")</f>
        <v/>
      </c>
      <c r="B274" s="182"/>
      <c r="C274" s="183" t="s">
        <v>120</v>
      </c>
      <c r="D274" s="193" t="s">
        <v>134</v>
      </c>
      <c r="E274" s="193" t="s">
        <v>138</v>
      </c>
      <c r="F274" s="194"/>
      <c r="G274" s="184"/>
      <c r="H274" s="182"/>
      <c r="I274" s="184"/>
      <c r="J274" s="182"/>
      <c r="K274" s="182"/>
      <c r="L274" s="202">
        <f>(55+31.57)*1.1</f>
        <v>95.227000000000004</v>
      </c>
      <c r="M274" s="182"/>
      <c r="N274" s="182"/>
      <c r="O274" s="182"/>
      <c r="P274" s="182"/>
      <c r="Q274" s="182"/>
      <c r="R274" s="185"/>
    </row>
    <row r="275" spans="1:18" ht="19.25" customHeight="1" x14ac:dyDescent="0.35">
      <c r="A275" s="71" t="str">
        <f>IF(TRIM(G275)&lt;&gt;"",COUNTA(G$11:$G275)&amp;"","")</f>
        <v/>
      </c>
      <c r="B275" s="72"/>
      <c r="C275" s="72"/>
      <c r="D275" s="34"/>
      <c r="E275" s="247" t="s">
        <v>194</v>
      </c>
      <c r="F275" s="246"/>
      <c r="G275" s="74"/>
      <c r="H275" s="22" t="str">
        <f t="shared" ref="H275" si="456">IF(F275=0,"",0)</f>
        <v/>
      </c>
      <c r="I275" s="51" t="str">
        <f t="shared" ref="I275" si="457">IF(F275=0,"",F275+(F275*H275))</f>
        <v/>
      </c>
      <c r="J275" s="23" t="str">
        <f t="shared" ref="J275" si="458">IF(F275=0,"",0)</f>
        <v/>
      </c>
      <c r="K275" s="24" t="str">
        <f t="shared" ref="K275:K281" si="459">IF(F275=0,"",J275*I275)</f>
        <v/>
      </c>
      <c r="L275" s="25" t="str">
        <f>IF(F275=0,"",#REF!)</f>
        <v/>
      </c>
      <c r="M275" s="26" t="str">
        <f t="shared" ref="M275:M280" si="460">IF(F275=0,"",0)</f>
        <v/>
      </c>
      <c r="N275" s="26" t="str">
        <f t="shared" ref="N275:N281" si="461">IF(F275=0,"",M275*I275)</f>
        <v/>
      </c>
      <c r="O275" s="24" t="str">
        <f t="shared" ref="O275:O281" si="462">IF(F275=0,"",N275*L275)</f>
        <v/>
      </c>
      <c r="P275" s="27" t="str">
        <f t="shared" ref="P275:P281" si="463">IF(F275=0,"",(K275+O275)/I275)</f>
        <v/>
      </c>
      <c r="Q275" s="24" t="str">
        <f t="shared" ref="Q275:Q281" si="464">IF(F275=0,"",(P275*I275))</f>
        <v/>
      </c>
      <c r="R275" s="123"/>
    </row>
    <row r="276" spans="1:18" ht="23.5" customHeight="1" x14ac:dyDescent="0.35">
      <c r="A276" s="71" t="str">
        <f>IF(TRIM(G276)&lt;&gt;"",COUNTA(G$11:$G276)&amp;"","")</f>
        <v/>
      </c>
      <c r="B276" s="72"/>
      <c r="C276" s="72"/>
      <c r="D276" s="34"/>
      <c r="E276" s="263" t="s">
        <v>382</v>
      </c>
      <c r="F276" s="246"/>
      <c r="G276" s="74"/>
      <c r="H276" s="22" t="str">
        <f>IF(F276=0,"",0)</f>
        <v/>
      </c>
      <c r="I276" s="51" t="str">
        <f>IF(F276=0,"",F276+(F276*H276))</f>
        <v/>
      </c>
      <c r="J276" s="23" t="str">
        <f>IF(F276=0,"",0)</f>
        <v/>
      </c>
      <c r="K276" s="24" t="str">
        <f>IF(F276=0,"",J276*I276)</f>
        <v/>
      </c>
      <c r="L276" s="25" t="str">
        <f>IF(F276=0,"",#REF!)</f>
        <v/>
      </c>
      <c r="M276" s="26" t="str">
        <f>IF(F276=0,"",0)</f>
        <v/>
      </c>
      <c r="N276" s="26" t="str">
        <f>IF(F276=0,"",M276*I276)</f>
        <v/>
      </c>
      <c r="O276" s="24" t="str">
        <f>IF(F276=0,"",N276*L276)</f>
        <v/>
      </c>
      <c r="P276" s="27" t="str">
        <f>IF(F276=0,"",(K276+O276)/I276)</f>
        <v/>
      </c>
      <c r="Q276" s="24" t="str">
        <f>IF(F276=0,"",(P276*I276))</f>
        <v/>
      </c>
      <c r="R276" s="123"/>
    </row>
    <row r="277" spans="1:18" x14ac:dyDescent="0.35">
      <c r="A277" s="71" t="str">
        <f>IF(TRIM(G277)&lt;&gt;"",COUNTA(G$11:$G277)&amp;"","")</f>
        <v>149</v>
      </c>
      <c r="B277" s="303" t="s">
        <v>383</v>
      </c>
      <c r="C277" s="303" t="s">
        <v>383</v>
      </c>
      <c r="D277" s="34"/>
      <c r="E277" s="56" t="s">
        <v>384</v>
      </c>
      <c r="F277" s="73">
        <f>864.13+189</f>
        <v>1053.1300000000001</v>
      </c>
      <c r="G277" s="74" t="s">
        <v>154</v>
      </c>
      <c r="H277" s="22">
        <v>0.1</v>
      </c>
      <c r="I277" s="51">
        <f t="shared" ref="I277:I279" si="465">IF(F277=0,"",F277+(F277*H277))</f>
        <v>1158.4430000000002</v>
      </c>
      <c r="J277" s="23">
        <v>2.84</v>
      </c>
      <c r="K277" s="24">
        <f t="shared" ref="K277:K279" si="466">IF(F277=0,"",J277*I277)</f>
        <v>3289.9781200000002</v>
      </c>
      <c r="L277" s="25">
        <f>$L$274</f>
        <v>95.227000000000004</v>
      </c>
      <c r="M277" s="26">
        <v>7.9000000000000001E-2</v>
      </c>
      <c r="N277" s="26">
        <f t="shared" ref="N277:N279" si="467">IF(F277=0,"",M277*I277)</f>
        <v>91.516997000000018</v>
      </c>
      <c r="O277" s="24">
        <f t="shared" ref="O277:O279" si="468">IF(F277=0,"",N277*L277)</f>
        <v>8714.8890733190019</v>
      </c>
      <c r="P277" s="27">
        <f t="shared" ref="P277:P279" si="469">IF(F277=0,"",(K277+O277)/I277)</f>
        <v>10.362933</v>
      </c>
      <c r="Q277" s="24">
        <f t="shared" ref="Q277:Q279" si="470">IF(F277=0,"",(P277*I277))</f>
        <v>12004.867193319002</v>
      </c>
      <c r="R277" s="123"/>
    </row>
    <row r="278" spans="1:18" x14ac:dyDescent="0.35">
      <c r="A278" s="71" t="str">
        <f>IF(TRIM(G278)&lt;&gt;"",COUNTA(G$11:$G278)&amp;"","")</f>
        <v>150</v>
      </c>
      <c r="B278" s="304"/>
      <c r="C278" s="304"/>
      <c r="D278" s="34"/>
      <c r="E278" s="56" t="s">
        <v>385</v>
      </c>
      <c r="F278" s="73">
        <v>122.51</v>
      </c>
      <c r="G278" s="74" t="s">
        <v>154</v>
      </c>
      <c r="H278" s="22">
        <v>0.1</v>
      </c>
      <c r="I278" s="51">
        <f t="shared" si="465"/>
        <v>134.761</v>
      </c>
      <c r="J278" s="23">
        <v>4.6399999999999997</v>
      </c>
      <c r="K278" s="24">
        <f t="shared" si="466"/>
        <v>625.29103999999995</v>
      </c>
      <c r="L278" s="25">
        <f t="shared" ref="L278:L295" si="471">$L$274</f>
        <v>95.227000000000004</v>
      </c>
      <c r="M278" s="26">
        <v>0.104</v>
      </c>
      <c r="N278" s="26">
        <f t="shared" si="467"/>
        <v>14.015143999999999</v>
      </c>
      <c r="O278" s="24">
        <f t="shared" si="468"/>
        <v>1334.6201176879999</v>
      </c>
      <c r="P278" s="27">
        <f t="shared" si="469"/>
        <v>14.543608000000001</v>
      </c>
      <c r="Q278" s="24">
        <f t="shared" si="470"/>
        <v>1959.911157688</v>
      </c>
      <c r="R278" s="123"/>
    </row>
    <row r="279" spans="1:18" x14ac:dyDescent="0.35">
      <c r="A279" s="71" t="str">
        <f>IF(TRIM(G279)&lt;&gt;"",COUNTA(G$11:$G279)&amp;"","")</f>
        <v>151</v>
      </c>
      <c r="B279" s="304"/>
      <c r="C279" s="304"/>
      <c r="D279" s="34"/>
      <c r="E279" s="56" t="s">
        <v>386</v>
      </c>
      <c r="F279" s="73">
        <v>12.69</v>
      </c>
      <c r="G279" s="74" t="s">
        <v>154</v>
      </c>
      <c r="H279" s="22">
        <v>0.1</v>
      </c>
      <c r="I279" s="51">
        <f t="shared" si="465"/>
        <v>13.959</v>
      </c>
      <c r="J279" s="23">
        <v>4.93</v>
      </c>
      <c r="K279" s="24">
        <f t="shared" si="466"/>
        <v>68.817869999999999</v>
      </c>
      <c r="L279" s="25">
        <f t="shared" si="471"/>
        <v>95.227000000000004</v>
      </c>
      <c r="M279" s="26">
        <v>0.13</v>
      </c>
      <c r="N279" s="26">
        <f t="shared" si="467"/>
        <v>1.81467</v>
      </c>
      <c r="O279" s="24">
        <f t="shared" si="468"/>
        <v>172.80558009000001</v>
      </c>
      <c r="P279" s="27">
        <f t="shared" si="469"/>
        <v>17.30951</v>
      </c>
      <c r="Q279" s="24">
        <f t="shared" si="470"/>
        <v>241.62345008999998</v>
      </c>
      <c r="R279" s="123"/>
    </row>
    <row r="280" spans="1:18" x14ac:dyDescent="0.35">
      <c r="A280" s="71" t="str">
        <f>IF(TRIM(G280)&lt;&gt;"",COUNTA(G$11:$G280)&amp;"","")</f>
        <v/>
      </c>
      <c r="B280" s="304"/>
      <c r="C280" s="304"/>
      <c r="D280" s="34"/>
      <c r="E280" s="247" t="s">
        <v>387</v>
      </c>
      <c r="F280" s="73"/>
      <c r="G280" s="74"/>
      <c r="H280" s="22" t="str">
        <f t="shared" ref="H280" si="472">IF(F280=0,"",0)</f>
        <v/>
      </c>
      <c r="I280" s="51" t="str">
        <f t="shared" ref="I280:I281" si="473">IF(F280=0,"",F280+(F280*H280))</f>
        <v/>
      </c>
      <c r="J280" s="23" t="str">
        <f t="shared" ref="J280" si="474">IF(F280=0,"",0)</f>
        <v/>
      </c>
      <c r="K280" s="24" t="str">
        <f t="shared" si="459"/>
        <v/>
      </c>
      <c r="L280" s="25"/>
      <c r="M280" s="26" t="str">
        <f t="shared" si="460"/>
        <v/>
      </c>
      <c r="N280" s="26" t="str">
        <f t="shared" si="461"/>
        <v/>
      </c>
      <c r="O280" s="24" t="str">
        <f t="shared" si="462"/>
        <v/>
      </c>
      <c r="P280" s="27" t="str">
        <f t="shared" si="463"/>
        <v/>
      </c>
      <c r="Q280" s="24" t="str">
        <f t="shared" si="464"/>
        <v/>
      </c>
      <c r="R280" s="123"/>
    </row>
    <row r="281" spans="1:18" x14ac:dyDescent="0.35">
      <c r="A281" s="71" t="str">
        <f>IF(TRIM(G281)&lt;&gt;"",COUNTA(G$11:$G281)&amp;"","")</f>
        <v>152</v>
      </c>
      <c r="B281" s="304"/>
      <c r="C281" s="304"/>
      <c r="D281" s="34"/>
      <c r="E281" s="56" t="s">
        <v>388</v>
      </c>
      <c r="F281" s="73">
        <v>100</v>
      </c>
      <c r="G281" s="74" t="s">
        <v>192</v>
      </c>
      <c r="H281" s="22">
        <v>0</v>
      </c>
      <c r="I281" s="51">
        <f t="shared" si="473"/>
        <v>100</v>
      </c>
      <c r="J281" s="23">
        <v>25</v>
      </c>
      <c r="K281" s="24">
        <f t="shared" si="459"/>
        <v>2500</v>
      </c>
      <c r="L281" s="25">
        <f t="shared" si="471"/>
        <v>95.227000000000004</v>
      </c>
      <c r="M281" s="26">
        <v>0.21199999999999999</v>
      </c>
      <c r="N281" s="26">
        <f t="shared" si="461"/>
        <v>21.2</v>
      </c>
      <c r="O281" s="24">
        <f t="shared" si="462"/>
        <v>2018.8124</v>
      </c>
      <c r="P281" s="27">
        <f t="shared" si="463"/>
        <v>45.188123999999995</v>
      </c>
      <c r="Q281" s="24">
        <f t="shared" si="464"/>
        <v>4518.8123999999998</v>
      </c>
      <c r="R281" s="123"/>
    </row>
    <row r="282" spans="1:18" x14ac:dyDescent="0.35">
      <c r="A282" s="71" t="str">
        <f>IF(TRIM(G282)&lt;&gt;"",COUNTA(G$11:$G282)&amp;"","")</f>
        <v>153</v>
      </c>
      <c r="B282" s="304"/>
      <c r="C282" s="304"/>
      <c r="D282" s="34"/>
      <c r="E282" s="56" t="s">
        <v>389</v>
      </c>
      <c r="F282" s="73">
        <v>15</v>
      </c>
      <c r="G282" s="74" t="s">
        <v>192</v>
      </c>
      <c r="H282" s="22">
        <v>0</v>
      </c>
      <c r="I282" s="51">
        <f t="shared" ref="I282" si="475">IF(F282=0,"",F282+(F282*H282))</f>
        <v>15</v>
      </c>
      <c r="J282" s="23">
        <v>28</v>
      </c>
      <c r="K282" s="24">
        <f t="shared" ref="K282" si="476">IF(F282=0,"",J282*I282)</f>
        <v>420</v>
      </c>
      <c r="L282" s="25">
        <f t="shared" si="471"/>
        <v>95.227000000000004</v>
      </c>
      <c r="M282" s="26">
        <v>0.252</v>
      </c>
      <c r="N282" s="26">
        <f t="shared" ref="N282" si="477">IF(F282=0,"",M282*I282)</f>
        <v>3.7800000000000002</v>
      </c>
      <c r="O282" s="24">
        <f t="shared" ref="O282" si="478">IF(F282=0,"",N282*L282)</f>
        <v>359.95806000000005</v>
      </c>
      <c r="P282" s="27">
        <f t="shared" ref="P282" si="479">IF(F282=0,"",(K282+O282)/I282)</f>
        <v>51.997204000000004</v>
      </c>
      <c r="Q282" s="24">
        <f t="shared" ref="Q282" si="480">IF(F282=0,"",(P282*I282))</f>
        <v>779.95806000000005</v>
      </c>
      <c r="R282" s="123"/>
    </row>
    <row r="283" spans="1:18" x14ac:dyDescent="0.35">
      <c r="A283" s="71" t="str">
        <f>IF(TRIM(G283)&lt;&gt;"",COUNTA(G$11:$G283)&amp;"","")</f>
        <v/>
      </c>
      <c r="B283" s="304"/>
      <c r="C283" s="304"/>
      <c r="D283" s="34"/>
      <c r="E283" s="247" t="s">
        <v>390</v>
      </c>
      <c r="F283" s="73"/>
      <c r="G283" s="74"/>
      <c r="H283" s="22"/>
      <c r="I283" s="51"/>
      <c r="J283" s="23"/>
      <c r="K283" s="24"/>
      <c r="L283" s="25"/>
      <c r="M283" s="26"/>
      <c r="N283" s="26"/>
      <c r="O283" s="24"/>
      <c r="P283" s="27"/>
      <c r="Q283" s="24"/>
      <c r="R283" s="123"/>
    </row>
    <row r="284" spans="1:18" x14ac:dyDescent="0.35">
      <c r="A284" s="71" t="str">
        <f>IF(TRIM(G284)&lt;&gt;"",COUNTA(G$11:$G284)&amp;"","")</f>
        <v>154</v>
      </c>
      <c r="B284" s="304"/>
      <c r="C284" s="304"/>
      <c r="D284" s="34"/>
      <c r="E284" s="56" t="s">
        <v>391</v>
      </c>
      <c r="F284" s="73">
        <v>4</v>
      </c>
      <c r="G284" s="74" t="s">
        <v>192</v>
      </c>
      <c r="H284" s="22">
        <v>0</v>
      </c>
      <c r="I284" s="51">
        <f t="shared" ref="I284:I286" si="481">IF(F284=0,"",F284+(F284*H284))</f>
        <v>4</v>
      </c>
      <c r="J284" s="23">
        <v>1250</v>
      </c>
      <c r="K284" s="24">
        <f t="shared" ref="K284:K286" si="482">IF(F284=0,"",J284*I284)</f>
        <v>5000</v>
      </c>
      <c r="L284" s="25">
        <f t="shared" si="471"/>
        <v>95.227000000000004</v>
      </c>
      <c r="M284" s="26">
        <v>4</v>
      </c>
      <c r="N284" s="26">
        <f t="shared" ref="N284:N286" si="483">IF(F284=0,"",M284*I284)</f>
        <v>16</v>
      </c>
      <c r="O284" s="24">
        <f t="shared" ref="O284:O286" si="484">IF(F284=0,"",N284*L284)</f>
        <v>1523.6320000000001</v>
      </c>
      <c r="P284" s="27">
        <f t="shared" ref="P284:P286" si="485">IF(F284=0,"",(K284+O284)/I284)</f>
        <v>1630.9079999999999</v>
      </c>
      <c r="Q284" s="24">
        <f t="shared" ref="Q284:Q286" si="486">IF(F284=0,"",(P284*I284))</f>
        <v>6523.6319999999996</v>
      </c>
      <c r="R284" s="123"/>
    </row>
    <row r="285" spans="1:18" x14ac:dyDescent="0.35">
      <c r="A285" s="71" t="str">
        <f>IF(TRIM(G285)&lt;&gt;"",COUNTA(G$11:$G285)&amp;"","")</f>
        <v>155</v>
      </c>
      <c r="B285" s="304"/>
      <c r="C285" s="304"/>
      <c r="D285" s="34"/>
      <c r="E285" s="56" t="s">
        <v>392</v>
      </c>
      <c r="F285" s="73">
        <v>3</v>
      </c>
      <c r="G285" s="74" t="s">
        <v>192</v>
      </c>
      <c r="H285" s="22">
        <v>0</v>
      </c>
      <c r="I285" s="51">
        <f t="shared" si="481"/>
        <v>3</v>
      </c>
      <c r="J285" s="23">
        <v>780</v>
      </c>
      <c r="K285" s="24">
        <f t="shared" si="482"/>
        <v>2340</v>
      </c>
      <c r="L285" s="25">
        <f t="shared" si="471"/>
        <v>95.227000000000004</v>
      </c>
      <c r="M285" s="26">
        <v>3.45</v>
      </c>
      <c r="N285" s="26">
        <f t="shared" si="483"/>
        <v>10.350000000000001</v>
      </c>
      <c r="O285" s="24">
        <f t="shared" si="484"/>
        <v>985.59945000000016</v>
      </c>
      <c r="P285" s="27">
        <f t="shared" si="485"/>
        <v>1108.53315</v>
      </c>
      <c r="Q285" s="24">
        <f t="shared" si="486"/>
        <v>3325.5994499999997</v>
      </c>
      <c r="R285" s="123"/>
    </row>
    <row r="286" spans="1:18" x14ac:dyDescent="0.35">
      <c r="A286" s="71" t="str">
        <f>IF(TRIM(G286)&lt;&gt;"",COUNTA(G$11:$G286)&amp;"","")</f>
        <v>156</v>
      </c>
      <c r="B286" s="304"/>
      <c r="C286" s="304"/>
      <c r="D286" s="34"/>
      <c r="E286" s="56" t="s">
        <v>393</v>
      </c>
      <c r="F286" s="73">
        <v>3</v>
      </c>
      <c r="G286" s="74" t="s">
        <v>192</v>
      </c>
      <c r="H286" s="22">
        <v>0</v>
      </c>
      <c r="I286" s="51">
        <f t="shared" si="481"/>
        <v>3</v>
      </c>
      <c r="J286" s="23">
        <v>450</v>
      </c>
      <c r="K286" s="24">
        <f t="shared" si="482"/>
        <v>1350</v>
      </c>
      <c r="L286" s="25">
        <f t="shared" si="471"/>
        <v>95.227000000000004</v>
      </c>
      <c r="M286" s="26">
        <v>3.25</v>
      </c>
      <c r="N286" s="26">
        <f t="shared" si="483"/>
        <v>9.75</v>
      </c>
      <c r="O286" s="24">
        <f t="shared" si="484"/>
        <v>928.46325000000002</v>
      </c>
      <c r="P286" s="27">
        <f t="shared" si="485"/>
        <v>759.48774999999989</v>
      </c>
      <c r="Q286" s="24">
        <f t="shared" si="486"/>
        <v>2278.4632499999998</v>
      </c>
      <c r="R286" s="123"/>
    </row>
    <row r="287" spans="1:18" x14ac:dyDescent="0.35">
      <c r="A287" s="71" t="str">
        <f>IF(TRIM(G287)&lt;&gt;"",COUNTA(G$11:$G287)&amp;"","")</f>
        <v/>
      </c>
      <c r="B287" s="304"/>
      <c r="C287" s="304"/>
      <c r="D287" s="34"/>
      <c r="E287" s="247" t="s">
        <v>394</v>
      </c>
      <c r="F287" s="73"/>
      <c r="G287" s="74"/>
      <c r="H287" s="22"/>
      <c r="I287" s="51"/>
      <c r="J287" s="23"/>
      <c r="K287" s="24"/>
      <c r="L287" s="25"/>
      <c r="M287" s="26"/>
      <c r="N287" s="26"/>
      <c r="O287" s="24"/>
      <c r="P287" s="27"/>
      <c r="Q287" s="24"/>
      <c r="R287" s="123"/>
    </row>
    <row r="288" spans="1:18" x14ac:dyDescent="0.35">
      <c r="A288" s="71" t="str">
        <f>IF(TRIM(G288)&lt;&gt;"",COUNTA(G$11:$G288)&amp;"","")</f>
        <v>157</v>
      </c>
      <c r="B288" s="304"/>
      <c r="C288" s="304"/>
      <c r="D288" s="34"/>
      <c r="E288" s="56" t="s">
        <v>395</v>
      </c>
      <c r="F288" s="73">
        <v>25</v>
      </c>
      <c r="G288" s="74" t="s">
        <v>192</v>
      </c>
      <c r="H288" s="22">
        <v>0</v>
      </c>
      <c r="I288" s="51">
        <f t="shared" ref="I288:I290" si="487">IF(F288=0,"",F288+(F288*H288))</f>
        <v>25</v>
      </c>
      <c r="J288" s="23">
        <v>3.2</v>
      </c>
      <c r="K288" s="24">
        <f t="shared" ref="K288:K290" si="488">IF(F288=0,"",J288*I288)</f>
        <v>80</v>
      </c>
      <c r="L288" s="25">
        <f t="shared" si="471"/>
        <v>95.227000000000004</v>
      </c>
      <c r="M288" s="26">
        <v>0.06</v>
      </c>
      <c r="N288" s="26">
        <f t="shared" ref="N288:N290" si="489">IF(F288=0,"",M288*I288)</f>
        <v>1.5</v>
      </c>
      <c r="O288" s="24">
        <f t="shared" ref="O288:O290" si="490">IF(F288=0,"",N288*L288)</f>
        <v>142.84050000000002</v>
      </c>
      <c r="P288" s="27">
        <f t="shared" ref="P288:P290" si="491">IF(F288=0,"",(K288+O288)/I288)</f>
        <v>8.9136200000000017</v>
      </c>
      <c r="Q288" s="24">
        <f t="shared" ref="Q288:Q290" si="492">IF(F288=0,"",(P288*I288))</f>
        <v>222.84050000000005</v>
      </c>
      <c r="R288" s="123"/>
    </row>
    <row r="289" spans="1:18" x14ac:dyDescent="0.35">
      <c r="A289" s="71" t="str">
        <f>IF(TRIM(G289)&lt;&gt;"",COUNTA(G$11:$G289)&amp;"","")</f>
        <v>158</v>
      </c>
      <c r="B289" s="304"/>
      <c r="C289" s="304"/>
      <c r="D289" s="34"/>
      <c r="E289" s="56" t="s">
        <v>396</v>
      </c>
      <c r="F289" s="73">
        <v>67</v>
      </c>
      <c r="G289" s="74" t="s">
        <v>192</v>
      </c>
      <c r="H289" s="22">
        <v>0</v>
      </c>
      <c r="I289" s="51">
        <f t="shared" si="487"/>
        <v>67</v>
      </c>
      <c r="J289" s="23">
        <v>4.0999999999999996</v>
      </c>
      <c r="K289" s="24">
        <f t="shared" si="488"/>
        <v>274.7</v>
      </c>
      <c r="L289" s="25">
        <f t="shared" si="471"/>
        <v>95.227000000000004</v>
      </c>
      <c r="M289" s="26">
        <v>0.08</v>
      </c>
      <c r="N289" s="26">
        <f t="shared" si="489"/>
        <v>5.36</v>
      </c>
      <c r="O289" s="24">
        <f t="shared" si="490"/>
        <v>510.41672000000005</v>
      </c>
      <c r="P289" s="27">
        <f t="shared" si="491"/>
        <v>11.718159999999999</v>
      </c>
      <c r="Q289" s="24">
        <f t="shared" si="492"/>
        <v>785.11671999999999</v>
      </c>
      <c r="R289" s="123"/>
    </row>
    <row r="290" spans="1:18" x14ac:dyDescent="0.35">
      <c r="A290" s="71" t="str">
        <f>IF(TRIM(G290)&lt;&gt;"",COUNTA(G$11:$G290)&amp;"","")</f>
        <v>159</v>
      </c>
      <c r="B290" s="304"/>
      <c r="C290" s="304"/>
      <c r="D290" s="34"/>
      <c r="E290" s="56" t="s">
        <v>397</v>
      </c>
      <c r="F290" s="73">
        <v>18</v>
      </c>
      <c r="G290" s="74" t="s">
        <v>192</v>
      </c>
      <c r="H290" s="22">
        <v>0</v>
      </c>
      <c r="I290" s="51">
        <f t="shared" si="487"/>
        <v>18</v>
      </c>
      <c r="J290" s="23">
        <v>3.5</v>
      </c>
      <c r="K290" s="24">
        <f t="shared" si="488"/>
        <v>63</v>
      </c>
      <c r="L290" s="25">
        <f t="shared" si="471"/>
        <v>95.227000000000004</v>
      </c>
      <c r="M290" s="26">
        <v>7.0000000000000007E-2</v>
      </c>
      <c r="N290" s="26">
        <f t="shared" si="489"/>
        <v>1.2600000000000002</v>
      </c>
      <c r="O290" s="24">
        <f t="shared" si="490"/>
        <v>119.98602000000002</v>
      </c>
      <c r="P290" s="27">
        <f t="shared" si="491"/>
        <v>10.165890000000001</v>
      </c>
      <c r="Q290" s="24">
        <f t="shared" si="492"/>
        <v>182.98602000000002</v>
      </c>
      <c r="R290" s="123"/>
    </row>
    <row r="291" spans="1:18" x14ac:dyDescent="0.35">
      <c r="A291" s="71" t="str">
        <f>IF(TRIM(G291)&lt;&gt;"",COUNTA(G$11:$G291)&amp;"","")</f>
        <v/>
      </c>
      <c r="B291" s="304"/>
      <c r="C291" s="304"/>
      <c r="D291" s="34"/>
      <c r="E291" s="247" t="s">
        <v>398</v>
      </c>
      <c r="F291" s="73"/>
      <c r="G291" s="74"/>
      <c r="H291" s="22"/>
      <c r="I291" s="51"/>
      <c r="J291" s="23"/>
      <c r="K291" s="24"/>
      <c r="L291" s="25"/>
      <c r="M291" s="26"/>
      <c r="N291" s="26"/>
      <c r="O291" s="24"/>
      <c r="P291" s="27"/>
      <c r="Q291" s="24"/>
      <c r="R291" s="123"/>
    </row>
    <row r="292" spans="1:18" x14ac:dyDescent="0.35">
      <c r="A292" s="71" t="str">
        <f>IF(TRIM(G292)&lt;&gt;"",COUNTA(G$11:$G292)&amp;"","")</f>
        <v>160</v>
      </c>
      <c r="B292" s="304"/>
      <c r="C292" s="304"/>
      <c r="D292" s="34"/>
      <c r="E292" s="56" t="s">
        <v>399</v>
      </c>
      <c r="F292" s="73">
        <v>1</v>
      </c>
      <c r="G292" s="74" t="s">
        <v>192</v>
      </c>
      <c r="H292" s="22">
        <v>0</v>
      </c>
      <c r="I292" s="51">
        <f t="shared" ref="I292" si="493">IF(F292=0,"",F292+(F292*H292))</f>
        <v>1</v>
      </c>
      <c r="J292" s="23">
        <v>820</v>
      </c>
      <c r="K292" s="24">
        <f t="shared" ref="K292" si="494">IF(F292=0,"",J292*I292)</f>
        <v>820</v>
      </c>
      <c r="L292" s="25">
        <f t="shared" si="471"/>
        <v>95.227000000000004</v>
      </c>
      <c r="M292" s="26">
        <v>3.75</v>
      </c>
      <c r="N292" s="26">
        <f t="shared" ref="N292" si="495">IF(F292=0,"",M292*I292)</f>
        <v>3.75</v>
      </c>
      <c r="O292" s="24">
        <f t="shared" ref="O292" si="496">IF(F292=0,"",N292*L292)</f>
        <v>357.10124999999999</v>
      </c>
      <c r="P292" s="27">
        <f t="shared" ref="P292" si="497">IF(F292=0,"",(K292+O292)/I292)</f>
        <v>1177.1012499999999</v>
      </c>
      <c r="Q292" s="24">
        <f t="shared" ref="Q292" si="498">IF(F292=0,"",(P292*I292))</f>
        <v>1177.1012499999999</v>
      </c>
      <c r="R292" s="123"/>
    </row>
    <row r="293" spans="1:18" ht="19.25" customHeight="1" x14ac:dyDescent="0.35">
      <c r="A293" s="71" t="str">
        <f>IF(TRIM(G293)&lt;&gt;"",COUNTA(G$11:$G293)&amp;"","")</f>
        <v/>
      </c>
      <c r="B293" s="304"/>
      <c r="C293" s="304"/>
      <c r="D293" s="34"/>
      <c r="E293" s="247" t="s">
        <v>400</v>
      </c>
      <c r="F293" s="246"/>
      <c r="G293" s="74"/>
      <c r="H293" s="22" t="str">
        <f t="shared" ref="H293" si="499">IF(F293=0,"",0)</f>
        <v/>
      </c>
      <c r="I293" s="51" t="str">
        <f t="shared" ref="I293:I295" si="500">IF(F293=0,"",F293+(F293*H293))</f>
        <v/>
      </c>
      <c r="J293" s="23"/>
      <c r="K293" s="24" t="str">
        <f t="shared" ref="K293:K295" si="501">IF(F293=0,"",J293*I293)</f>
        <v/>
      </c>
      <c r="L293" s="25"/>
      <c r="M293" s="26"/>
      <c r="N293" s="26" t="str">
        <f t="shared" ref="N293:N295" si="502">IF(F293=0,"",M293*I293)</f>
        <v/>
      </c>
      <c r="O293" s="24" t="str">
        <f t="shared" ref="O293:O295" si="503">IF(F293=0,"",N293*L293)</f>
        <v/>
      </c>
      <c r="P293" s="27" t="str">
        <f t="shared" ref="P293:P295" si="504">IF(F293=0,"",(K293+O293)/I293)</f>
        <v/>
      </c>
      <c r="Q293" s="24" t="str">
        <f t="shared" ref="Q293:Q295" si="505">IF(F293=0,"",(P293*I293))</f>
        <v/>
      </c>
      <c r="R293" s="123"/>
    </row>
    <row r="294" spans="1:18" x14ac:dyDescent="0.35">
      <c r="A294" s="71" t="str">
        <f>IF(TRIM(G294)&lt;&gt;"",COUNTA(G$11:$G294)&amp;"","")</f>
        <v>161</v>
      </c>
      <c r="B294" s="304"/>
      <c r="C294" s="304"/>
      <c r="D294" s="34"/>
      <c r="E294" s="264" t="s">
        <v>401</v>
      </c>
      <c r="F294" s="73">
        <f>1053/12</f>
        <v>87.75</v>
      </c>
      <c r="G294" s="74" t="s">
        <v>192</v>
      </c>
      <c r="H294" s="22">
        <v>0</v>
      </c>
      <c r="I294" s="51">
        <f t="shared" si="500"/>
        <v>87.75</v>
      </c>
      <c r="J294" s="23">
        <v>2.75</v>
      </c>
      <c r="K294" s="24">
        <f t="shared" si="501"/>
        <v>241.3125</v>
      </c>
      <c r="L294" s="25">
        <f t="shared" si="471"/>
        <v>95.227000000000004</v>
      </c>
      <c r="M294" s="26">
        <v>0.05</v>
      </c>
      <c r="N294" s="26">
        <f t="shared" si="502"/>
        <v>4.3875000000000002</v>
      </c>
      <c r="O294" s="24">
        <f t="shared" si="503"/>
        <v>417.80846250000002</v>
      </c>
      <c r="P294" s="27">
        <f t="shared" si="504"/>
        <v>7.5113500000000002</v>
      </c>
      <c r="Q294" s="24">
        <f t="shared" si="505"/>
        <v>659.12096250000002</v>
      </c>
      <c r="R294" s="123"/>
    </row>
    <row r="295" spans="1:18" x14ac:dyDescent="0.35">
      <c r="A295" s="71" t="str">
        <f>IF(TRIM(G295)&lt;&gt;"",COUNTA(G$11:$G295)&amp;"","")</f>
        <v>162</v>
      </c>
      <c r="B295" s="305"/>
      <c r="C295" s="305"/>
      <c r="D295" s="34"/>
      <c r="E295" s="264" t="s">
        <v>402</v>
      </c>
      <c r="F295" s="73">
        <f>F294</f>
        <v>87.75</v>
      </c>
      <c r="G295" s="74" t="s">
        <v>192</v>
      </c>
      <c r="H295" s="22">
        <v>0</v>
      </c>
      <c r="I295" s="51">
        <f t="shared" si="500"/>
        <v>87.75</v>
      </c>
      <c r="J295" s="23">
        <v>1.1000000000000001</v>
      </c>
      <c r="K295" s="24">
        <f t="shared" si="501"/>
        <v>96.525000000000006</v>
      </c>
      <c r="L295" s="25">
        <f t="shared" si="471"/>
        <v>95.227000000000004</v>
      </c>
      <c r="M295" s="26">
        <v>0.03</v>
      </c>
      <c r="N295" s="26">
        <f t="shared" si="502"/>
        <v>2.6324999999999998</v>
      </c>
      <c r="O295" s="24">
        <f t="shared" si="503"/>
        <v>250.68507750000001</v>
      </c>
      <c r="P295" s="27">
        <f t="shared" si="504"/>
        <v>3.9568099999999999</v>
      </c>
      <c r="Q295" s="24">
        <f t="shared" si="505"/>
        <v>347.21007750000001</v>
      </c>
      <c r="R295" s="123"/>
    </row>
    <row r="296" spans="1:18" ht="15" thickBot="1" x14ac:dyDescent="0.4">
      <c r="A296" s="71" t="str">
        <f>IF(TRIM(G296)&lt;&gt;"",COUNTA(G$11:$G296)&amp;"","")</f>
        <v/>
      </c>
      <c r="B296" s="75"/>
      <c r="C296" s="75"/>
      <c r="D296" s="34"/>
      <c r="E296" s="76"/>
      <c r="F296" s="73"/>
      <c r="G296" s="74"/>
      <c r="H296" s="22" t="str">
        <f t="shared" ref="H296" si="506">IF(F296=0,"",0)</f>
        <v/>
      </c>
      <c r="I296" s="51" t="str">
        <f t="shared" ref="I296" si="507">IF(F296=0,"",F296+(F296*H296))</f>
        <v/>
      </c>
      <c r="J296" s="23" t="str">
        <f t="shared" ref="J296" si="508">IF(F296=0,"",0)</f>
        <v/>
      </c>
      <c r="K296" s="24" t="str">
        <f t="shared" ref="K296" si="509">IF(F296=0,"",J296*I296)</f>
        <v/>
      </c>
      <c r="L296" s="25" t="str">
        <f t="shared" ref="L296" si="510">IF(F296=0,"",L$274)</f>
        <v/>
      </c>
      <c r="M296" s="26" t="str">
        <f t="shared" ref="M296" si="511">IF(F296=0,"",0)</f>
        <v/>
      </c>
      <c r="N296" s="26" t="str">
        <f t="shared" ref="N296" si="512">IF(F296=0,"",M296*I296)</f>
        <v/>
      </c>
      <c r="O296" s="24" t="str">
        <f t="shared" ref="O296" si="513">IF(F296=0,"",N296*L296)</f>
        <v/>
      </c>
      <c r="P296" s="27" t="str">
        <f t="shared" ref="P296" si="514">IF(F296=0,"",(K296+O296)/I296)</f>
        <v/>
      </c>
      <c r="Q296" s="24" t="str">
        <f t="shared" ref="Q296" si="515">IF(F296=0,"",(P296*I296))</f>
        <v/>
      </c>
      <c r="R296" s="123"/>
    </row>
    <row r="297" spans="1:18" s="2" customFormat="1" ht="16" thickBot="1" x14ac:dyDescent="0.4">
      <c r="A297" s="84" t="str">
        <f>IF(TRIM(G297)&lt;&gt;"",COUNTA(G$11:$G297)&amp;"","")</f>
        <v/>
      </c>
      <c r="B297" s="36"/>
      <c r="C297" s="36"/>
      <c r="D297" s="37"/>
      <c r="E297" s="19"/>
      <c r="F297" s="90"/>
      <c r="G297" s="91"/>
      <c r="H297" s="85" t="s">
        <v>12</v>
      </c>
      <c r="I297" s="86"/>
      <c r="J297" s="87">
        <f>SUM(K$275:K$296)</f>
        <v>17169.624530000001</v>
      </c>
      <c r="K297" s="311" t="s">
        <v>13</v>
      </c>
      <c r="L297" s="312"/>
      <c r="M297" s="88">
        <f>SUM(O$275:O$296)</f>
        <v>17837.617961097003</v>
      </c>
      <c r="N297" s="311" t="s">
        <v>42</v>
      </c>
      <c r="O297" s="312"/>
      <c r="P297" s="89">
        <f>SUM(N$275:N$296)</f>
        <v>187.316811</v>
      </c>
      <c r="Q297" s="191" t="s">
        <v>187</v>
      </c>
      <c r="R297" s="88">
        <f>SUM(Q$275:Q$296)</f>
        <v>35007.242491096993</v>
      </c>
    </row>
    <row r="298" spans="1:18" ht="25" customHeight="1" thickBot="1" x14ac:dyDescent="0.4">
      <c r="A298" s="181" t="str">
        <f>IF(TRIM(G298)&lt;&gt;"",COUNTA(G$11:$G298)&amp;"","")</f>
        <v/>
      </c>
      <c r="B298" s="182"/>
      <c r="C298" s="183" t="s">
        <v>120</v>
      </c>
      <c r="D298" s="193" t="s">
        <v>135</v>
      </c>
      <c r="E298" s="193" t="s">
        <v>139</v>
      </c>
      <c r="F298" s="194"/>
      <c r="G298" s="184"/>
      <c r="H298" s="182"/>
      <c r="I298" s="184"/>
      <c r="J298" s="182"/>
      <c r="K298" s="182"/>
      <c r="L298" s="202">
        <f>(55+31.57)*1.1</f>
        <v>95.227000000000004</v>
      </c>
      <c r="M298" s="182"/>
      <c r="N298" s="182"/>
      <c r="O298" s="182"/>
      <c r="P298" s="182"/>
      <c r="Q298" s="182"/>
      <c r="R298" s="185"/>
    </row>
    <row r="299" spans="1:18" ht="19.25" customHeight="1" x14ac:dyDescent="0.35">
      <c r="A299" s="71" t="str">
        <f>IF(TRIM(G299)&lt;&gt;"",COUNTA(G$11:$G299)&amp;"","")</f>
        <v/>
      </c>
      <c r="B299" s="72"/>
      <c r="C299" s="72"/>
      <c r="D299" s="34"/>
      <c r="E299" s="247" t="s">
        <v>403</v>
      </c>
      <c r="F299" s="246"/>
      <c r="G299" s="74"/>
      <c r="H299" s="22" t="str">
        <f t="shared" ref="H299" si="516">IF(F299=0,"",0)</f>
        <v/>
      </c>
      <c r="I299" s="51" t="str">
        <f t="shared" ref="I299:I394" si="517">IF(F299=0,"",F299+(F299*H299))</f>
        <v/>
      </c>
      <c r="J299" s="23" t="str">
        <f t="shared" ref="J299" si="518">IF(F299=0,"",0)</f>
        <v/>
      </c>
      <c r="K299" s="24" t="str">
        <f t="shared" ref="K299:K394" si="519">IF(F299=0,"",J299*I299)</f>
        <v/>
      </c>
      <c r="L299" s="25" t="str">
        <f>IF(F299=0,"",#REF!)</f>
        <v/>
      </c>
      <c r="M299" s="26" t="str">
        <f t="shared" ref="M299" si="520">IF(F299=0,"",0)</f>
        <v/>
      </c>
      <c r="N299" s="26" t="str">
        <f t="shared" ref="N299:N394" si="521">IF(F299=0,"",M299*I299)</f>
        <v/>
      </c>
      <c r="O299" s="24" t="str">
        <f t="shared" ref="O299:O394" si="522">IF(F299=0,"",N299*L299)</f>
        <v/>
      </c>
      <c r="P299" s="27" t="str">
        <f t="shared" ref="P299" si="523">IF(F299=0,"",(K299+O299)/I299)</f>
        <v/>
      </c>
      <c r="Q299" s="24" t="str">
        <f t="shared" ref="Q299" si="524">IF(F299=0,"",(P299*I299))</f>
        <v/>
      </c>
      <c r="R299" s="123"/>
    </row>
    <row r="300" spans="1:18" ht="23.5" customHeight="1" x14ac:dyDescent="0.35">
      <c r="A300" s="71" t="str">
        <f>IF(TRIM(G300)&lt;&gt;"",COUNTA(G$11:$G300)&amp;"","")</f>
        <v/>
      </c>
      <c r="B300" s="72"/>
      <c r="C300" s="72"/>
      <c r="D300" s="34"/>
      <c r="E300" s="263" t="s">
        <v>404</v>
      </c>
      <c r="F300" s="246"/>
      <c r="G300" s="74"/>
      <c r="H300" s="22" t="str">
        <f>IF(F300=0,"",0)</f>
        <v/>
      </c>
      <c r="I300" s="51" t="str">
        <f>IF(F300=0,"",F300+(F300*H300))</f>
        <v/>
      </c>
      <c r="J300" s="23" t="str">
        <f>IF(F300=0,"",0)</f>
        <v/>
      </c>
      <c r="K300" s="24" t="str">
        <f>IF(F300=0,"",J300*I300)</f>
        <v/>
      </c>
      <c r="L300" s="25" t="str">
        <f>IF(F300=0,"",#REF!)</f>
        <v/>
      </c>
      <c r="M300" s="26" t="str">
        <f>IF(F300=0,"",0)</f>
        <v/>
      </c>
      <c r="N300" s="26" t="str">
        <f>IF(F300=0,"",M300*I300)</f>
        <v/>
      </c>
      <c r="O300" s="24" t="str">
        <f>IF(F300=0,"",N300*L300)</f>
        <v/>
      </c>
      <c r="P300" s="27" t="str">
        <f>IF(F300=0,"",(K300+O300)/I300)</f>
        <v/>
      </c>
      <c r="Q300" s="24" t="str">
        <f>IF(F300=0,"",(P300*I300))</f>
        <v/>
      </c>
      <c r="R300" s="123"/>
    </row>
    <row r="301" spans="1:18" x14ac:dyDescent="0.35">
      <c r="A301" s="71" t="str">
        <f>IF(TRIM(G301)&lt;&gt;"",COUNTA(G$11:$G301)&amp;"","")</f>
        <v/>
      </c>
      <c r="B301" s="272" t="s">
        <v>406</v>
      </c>
      <c r="C301" s="272" t="s">
        <v>406</v>
      </c>
      <c r="D301" s="34"/>
      <c r="E301" s="259" t="s">
        <v>405</v>
      </c>
      <c r="F301" s="73"/>
      <c r="G301" s="74"/>
      <c r="H301" s="22"/>
      <c r="I301" s="51"/>
      <c r="J301" s="23"/>
      <c r="K301" s="24"/>
      <c r="L301" s="25"/>
      <c r="M301" s="26"/>
      <c r="N301" s="26"/>
      <c r="O301" s="24"/>
      <c r="P301" s="27"/>
      <c r="Q301" s="24"/>
      <c r="R301" s="123"/>
    </row>
    <row r="302" spans="1:18" x14ac:dyDescent="0.35">
      <c r="A302" s="71" t="str">
        <f>IF(TRIM(G302)&lt;&gt;"",COUNTA(G$11:$G302)&amp;"","")</f>
        <v>163</v>
      </c>
      <c r="B302" s="273"/>
      <c r="C302" s="273"/>
      <c r="D302" s="34"/>
      <c r="E302" s="56" t="s">
        <v>407</v>
      </c>
      <c r="F302" s="73">
        <v>140.37</v>
      </c>
      <c r="G302" s="74" t="s">
        <v>154</v>
      </c>
      <c r="H302" s="22">
        <v>0.1</v>
      </c>
      <c r="I302" s="51">
        <f t="shared" ref="I302:I303" si="525">IF(F302=0,"",F302+(F302*H302))</f>
        <v>154.40700000000001</v>
      </c>
      <c r="J302" s="23">
        <v>13.2</v>
      </c>
      <c r="K302" s="24">
        <f t="shared" ref="K302:K303" si="526">IF(F302=0,"",J302*I302)</f>
        <v>2038.1723999999999</v>
      </c>
      <c r="L302" s="25">
        <f>$L$298</f>
        <v>95.227000000000004</v>
      </c>
      <c r="M302" s="26">
        <v>0.19</v>
      </c>
      <c r="N302" s="26">
        <f t="shared" ref="N302:N303" si="527">IF(F302=0,"",M302*I302)</f>
        <v>29.337330000000001</v>
      </c>
      <c r="O302" s="24">
        <f t="shared" ref="O302:O303" si="528">IF(F302=0,"",N302*L302)</f>
        <v>2793.7059239100004</v>
      </c>
      <c r="P302" s="27">
        <f t="shared" ref="P302:P303" si="529">IF(F302=0,"",(K302+O302)/I302)</f>
        <v>31.293130000000001</v>
      </c>
      <c r="Q302" s="24">
        <f t="shared" ref="Q302:Q303" si="530">IF(F302=0,"",(P302*I302))</f>
        <v>4831.8783239100003</v>
      </c>
      <c r="R302" s="123"/>
    </row>
    <row r="303" spans="1:18" x14ac:dyDescent="0.35">
      <c r="A303" s="71" t="str">
        <f>IF(TRIM(G303)&lt;&gt;"",COUNTA(G$11:$G303)&amp;"","")</f>
        <v>164</v>
      </c>
      <c r="B303" s="273"/>
      <c r="C303" s="273"/>
      <c r="D303" s="34"/>
      <c r="E303" s="56" t="s">
        <v>408</v>
      </c>
      <c r="F303" s="73">
        <v>15.58</v>
      </c>
      <c r="G303" s="74" t="s">
        <v>154</v>
      </c>
      <c r="H303" s="22">
        <v>0.1</v>
      </c>
      <c r="I303" s="51">
        <f t="shared" si="525"/>
        <v>17.138000000000002</v>
      </c>
      <c r="J303" s="23">
        <v>11.3</v>
      </c>
      <c r="K303" s="24">
        <f t="shared" si="526"/>
        <v>193.65940000000003</v>
      </c>
      <c r="L303" s="25">
        <f>$L$298</f>
        <v>95.227000000000004</v>
      </c>
      <c r="M303" s="26">
        <v>0.16</v>
      </c>
      <c r="N303" s="26">
        <f t="shared" si="527"/>
        <v>2.7420800000000005</v>
      </c>
      <c r="O303" s="24">
        <f t="shared" si="528"/>
        <v>261.12005216000006</v>
      </c>
      <c r="P303" s="27">
        <f t="shared" si="529"/>
        <v>26.536320000000003</v>
      </c>
      <c r="Q303" s="24">
        <f t="shared" si="530"/>
        <v>454.77945216000012</v>
      </c>
      <c r="R303" s="123"/>
    </row>
    <row r="304" spans="1:18" x14ac:dyDescent="0.35">
      <c r="A304" s="71" t="str">
        <f>IF(TRIM(G304)&lt;&gt;"",COUNTA(G$11:$G304)&amp;"","")</f>
        <v/>
      </c>
      <c r="B304" s="273"/>
      <c r="C304" s="273"/>
      <c r="D304" s="34"/>
      <c r="E304" s="259" t="s">
        <v>409</v>
      </c>
      <c r="F304" s="73"/>
      <c r="G304" s="74"/>
      <c r="H304" s="22"/>
      <c r="I304" s="51"/>
      <c r="J304" s="23"/>
      <c r="K304" s="24"/>
      <c r="L304" s="25"/>
      <c r="M304" s="26"/>
      <c r="N304" s="26"/>
      <c r="O304" s="24"/>
      <c r="P304" s="27"/>
      <c r="Q304" s="24"/>
      <c r="R304" s="123"/>
    </row>
    <row r="305" spans="1:18" x14ac:dyDescent="0.35">
      <c r="A305" s="71" t="str">
        <f>IF(TRIM(G305)&lt;&gt;"",COUNTA(G$11:$G305)&amp;"","")</f>
        <v>165</v>
      </c>
      <c r="B305" s="273"/>
      <c r="C305" s="273"/>
      <c r="D305" s="34"/>
      <c r="E305" s="56" t="s">
        <v>410</v>
      </c>
      <c r="F305" s="73">
        <v>8.5500000000000007</v>
      </c>
      <c r="G305" s="74" t="s">
        <v>154</v>
      </c>
      <c r="H305" s="22">
        <v>0.1</v>
      </c>
      <c r="I305" s="51">
        <f t="shared" ref="I305:I306" si="531">IF(F305=0,"",F305+(F305*H305))</f>
        <v>9.4050000000000011</v>
      </c>
      <c r="J305" s="23">
        <v>10.199999999999999</v>
      </c>
      <c r="K305" s="24">
        <f t="shared" ref="K305:K306" si="532">IF(F305=0,"",J305*I305)</f>
        <v>95.931000000000012</v>
      </c>
      <c r="L305" s="25">
        <f>$L$298</f>
        <v>95.227000000000004</v>
      </c>
      <c r="M305" s="26">
        <v>0.13</v>
      </c>
      <c r="N305" s="26">
        <f t="shared" ref="N305:N306" si="533">IF(F305=0,"",M305*I305)</f>
        <v>1.2226500000000002</v>
      </c>
      <c r="O305" s="24">
        <f t="shared" ref="O305:O306" si="534">IF(F305=0,"",N305*L305)</f>
        <v>116.42929155000003</v>
      </c>
      <c r="P305" s="27">
        <f t="shared" ref="P305:P306" si="535">IF(F305=0,"",(K305+O305)/I305)</f>
        <v>22.579510000000003</v>
      </c>
      <c r="Q305" s="24">
        <f t="shared" ref="Q305:Q306" si="536">IF(F305=0,"",(P305*I305))</f>
        <v>212.36029155000006</v>
      </c>
      <c r="R305" s="123"/>
    </row>
    <row r="306" spans="1:18" ht="19.25" customHeight="1" x14ac:dyDescent="0.35">
      <c r="A306" s="71" t="str">
        <f>IF(TRIM(G306)&lt;&gt;"",COUNTA(G$11:$G306)&amp;"","")</f>
        <v/>
      </c>
      <c r="B306" s="273"/>
      <c r="C306" s="273"/>
      <c r="D306" s="34"/>
      <c r="E306" s="247" t="s">
        <v>411</v>
      </c>
      <c r="F306" s="246"/>
      <c r="G306" s="74"/>
      <c r="H306" s="22" t="str">
        <f t="shared" ref="H306" si="537">IF(F306=0,"",0)</f>
        <v/>
      </c>
      <c r="I306" s="51" t="str">
        <f t="shared" si="531"/>
        <v/>
      </c>
      <c r="J306" s="23" t="str">
        <f t="shared" ref="J306" si="538">IF(F306=0,"",0)</f>
        <v/>
      </c>
      <c r="K306" s="24" t="str">
        <f t="shared" si="532"/>
        <v/>
      </c>
      <c r="L306" s="25" t="str">
        <f>IF(F306=0,"",#REF!)</f>
        <v/>
      </c>
      <c r="M306" s="26" t="str">
        <f t="shared" ref="M306" si="539">IF(F306=0,"",0)</f>
        <v/>
      </c>
      <c r="N306" s="26" t="str">
        <f t="shared" si="533"/>
        <v/>
      </c>
      <c r="O306" s="24" t="str">
        <f t="shared" si="534"/>
        <v/>
      </c>
      <c r="P306" s="27" t="str">
        <f t="shared" si="535"/>
        <v/>
      </c>
      <c r="Q306" s="24" t="str">
        <f t="shared" si="536"/>
        <v/>
      </c>
      <c r="R306" s="123"/>
    </row>
    <row r="307" spans="1:18" ht="21.5" customHeight="1" x14ac:dyDescent="0.35">
      <c r="A307" s="71" t="str">
        <f>IF(TRIM(G307)&lt;&gt;"",COUNTA(G$11:$G307)&amp;"","")</f>
        <v/>
      </c>
      <c r="B307" s="273"/>
      <c r="C307" s="273"/>
      <c r="D307" s="34"/>
      <c r="E307" s="263" t="s">
        <v>412</v>
      </c>
      <c r="F307" s="246"/>
      <c r="G307" s="74"/>
      <c r="H307" s="22" t="str">
        <f>IF(F307=0,"",0)</f>
        <v/>
      </c>
      <c r="I307" s="51" t="str">
        <f>IF(F307=0,"",F307+(F307*H307))</f>
        <v/>
      </c>
      <c r="J307" s="23" t="str">
        <f>IF(F307=0,"",0)</f>
        <v/>
      </c>
      <c r="K307" s="24" t="str">
        <f>IF(F307=0,"",J307*I307)</f>
        <v/>
      </c>
      <c r="L307" s="25" t="str">
        <f>IF(F307=0,"",#REF!)</f>
        <v/>
      </c>
      <c r="M307" s="26" t="str">
        <f>IF(F307=0,"",0)</f>
        <v/>
      </c>
      <c r="N307" s="26" t="str">
        <f>IF(F307=0,"",M307*I307)</f>
        <v/>
      </c>
      <c r="O307" s="24" t="str">
        <f>IF(F307=0,"",N307*L307)</f>
        <v/>
      </c>
      <c r="P307" s="27" t="str">
        <f>IF(F307=0,"",(K307+O307)/I307)</f>
        <v/>
      </c>
      <c r="Q307" s="24" t="str">
        <f>IF(F307=0,"",(P307*I307))</f>
        <v/>
      </c>
      <c r="R307" s="123"/>
    </row>
    <row r="308" spans="1:18" x14ac:dyDescent="0.35">
      <c r="A308" s="71" t="str">
        <f>IF(TRIM(G308)&lt;&gt;"",COUNTA(G$11:$G308)&amp;"","")</f>
        <v/>
      </c>
      <c r="B308" s="273"/>
      <c r="C308" s="273"/>
      <c r="D308" s="34"/>
      <c r="E308" s="259" t="s">
        <v>413</v>
      </c>
      <c r="F308" s="73"/>
      <c r="G308" s="74"/>
      <c r="H308" s="22"/>
      <c r="I308" s="51"/>
      <c r="J308" s="23"/>
      <c r="K308" s="24"/>
      <c r="L308" s="25"/>
      <c r="M308" s="26"/>
      <c r="N308" s="26"/>
      <c r="O308" s="24"/>
      <c r="P308" s="27"/>
      <c r="Q308" s="24"/>
      <c r="R308" s="123"/>
    </row>
    <row r="309" spans="1:18" x14ac:dyDescent="0.35">
      <c r="A309" s="71" t="str">
        <f>IF(TRIM(G309)&lt;&gt;"",COUNTA(G$11:$G309)&amp;"","")</f>
        <v>166</v>
      </c>
      <c r="B309" s="273"/>
      <c r="C309" s="273"/>
      <c r="D309" s="34"/>
      <c r="E309" s="56" t="s">
        <v>414</v>
      </c>
      <c r="F309" s="73">
        <f>125.2+232</f>
        <v>357.2</v>
      </c>
      <c r="G309" s="74" t="s">
        <v>154</v>
      </c>
      <c r="H309" s="22">
        <v>0.1</v>
      </c>
      <c r="I309" s="51">
        <f t="shared" ref="I309:I310" si="540">IF(F309=0,"",F309+(F309*H309))</f>
        <v>392.91999999999996</v>
      </c>
      <c r="J309" s="23">
        <v>7.98</v>
      </c>
      <c r="K309" s="24">
        <f t="shared" ref="K309:K310" si="541">IF(F309=0,"",J309*I309)</f>
        <v>3135.5016000000001</v>
      </c>
      <c r="L309" s="25">
        <f t="shared" ref="L309:L313" si="542">$L$298</f>
        <v>95.227000000000004</v>
      </c>
      <c r="M309" s="26">
        <v>0.14599999999999999</v>
      </c>
      <c r="N309" s="26">
        <f t="shared" ref="N309:N310" si="543">IF(F309=0,"",M309*I309)</f>
        <v>57.366319999999988</v>
      </c>
      <c r="O309" s="24">
        <f t="shared" ref="O309:O310" si="544">IF(F309=0,"",N309*L309)</f>
        <v>5462.822554639999</v>
      </c>
      <c r="P309" s="27">
        <f t="shared" ref="P309:P310" si="545">IF(F309=0,"",(K309+O309)/I309)</f>
        <v>21.883141999999999</v>
      </c>
      <c r="Q309" s="24">
        <f t="shared" ref="Q309:Q310" si="546">IF(F309=0,"",(P309*I309))</f>
        <v>8598.3241546399986</v>
      </c>
      <c r="R309" s="123"/>
    </row>
    <row r="310" spans="1:18" x14ac:dyDescent="0.35">
      <c r="A310" s="71" t="str">
        <f>IF(TRIM(G310)&lt;&gt;"",COUNTA(G$11:$G310)&amp;"","")</f>
        <v>167</v>
      </c>
      <c r="B310" s="273"/>
      <c r="C310" s="273"/>
      <c r="D310" s="34"/>
      <c r="E310" s="56" t="s">
        <v>415</v>
      </c>
      <c r="F310" s="73">
        <f>33.27*(5)</f>
        <v>166.35000000000002</v>
      </c>
      <c r="G310" s="74" t="s">
        <v>154</v>
      </c>
      <c r="H310" s="22">
        <v>0.1</v>
      </c>
      <c r="I310" s="51">
        <f t="shared" si="540"/>
        <v>182.98500000000001</v>
      </c>
      <c r="J310" s="23">
        <v>3.15</v>
      </c>
      <c r="K310" s="24">
        <f t="shared" si="541"/>
        <v>576.40275000000008</v>
      </c>
      <c r="L310" s="25">
        <f t="shared" si="542"/>
        <v>95.227000000000004</v>
      </c>
      <c r="M310" s="26">
        <v>0.13</v>
      </c>
      <c r="N310" s="26">
        <f t="shared" si="543"/>
        <v>23.788050000000002</v>
      </c>
      <c r="O310" s="24">
        <f t="shared" si="544"/>
        <v>2265.2646373500002</v>
      </c>
      <c r="P310" s="27">
        <f t="shared" si="545"/>
        <v>15.52951</v>
      </c>
      <c r="Q310" s="24">
        <f t="shared" si="546"/>
        <v>2841.6673873500004</v>
      </c>
      <c r="R310" s="123"/>
    </row>
    <row r="311" spans="1:18" x14ac:dyDescent="0.35">
      <c r="A311" s="71" t="str">
        <f>IF(TRIM(G311)&lt;&gt;"",COUNTA(G$11:$G311)&amp;"","")</f>
        <v/>
      </c>
      <c r="B311" s="273"/>
      <c r="C311" s="273"/>
      <c r="D311" s="34"/>
      <c r="E311" s="259" t="s">
        <v>416</v>
      </c>
      <c r="F311" s="73"/>
      <c r="G311" s="74"/>
      <c r="H311" s="22"/>
      <c r="I311" s="51"/>
      <c r="J311" s="23"/>
      <c r="K311" s="24"/>
      <c r="L311" s="25"/>
      <c r="M311" s="26"/>
      <c r="N311" s="26"/>
      <c r="O311" s="24"/>
      <c r="P311" s="27"/>
      <c r="Q311" s="24"/>
      <c r="R311" s="123"/>
    </row>
    <row r="312" spans="1:18" x14ac:dyDescent="0.35">
      <c r="A312" s="71" t="str">
        <f>IF(TRIM(G312)&lt;&gt;"",COUNTA(G$11:$G312)&amp;"","")</f>
        <v>168</v>
      </c>
      <c r="B312" s="273"/>
      <c r="C312" s="273"/>
      <c r="D312" s="34"/>
      <c r="E312" s="56" t="s">
        <v>417</v>
      </c>
      <c r="F312" s="73">
        <f>45.16+138</f>
        <v>183.16</v>
      </c>
      <c r="G312" s="74" t="s">
        <v>154</v>
      </c>
      <c r="H312" s="22">
        <v>0.1</v>
      </c>
      <c r="I312" s="51">
        <f t="shared" ref="I312:I316" si="547">IF(F312=0,"",F312+(F312*H312))</f>
        <v>201.476</v>
      </c>
      <c r="J312" s="23">
        <v>3.15</v>
      </c>
      <c r="K312" s="24">
        <f t="shared" ref="K312:K313" si="548">IF(F312=0,"",J312*I312)</f>
        <v>634.64940000000001</v>
      </c>
      <c r="L312" s="25">
        <f t="shared" si="542"/>
        <v>95.227000000000004</v>
      </c>
      <c r="M312" s="26">
        <v>0.13</v>
      </c>
      <c r="N312" s="26">
        <f t="shared" ref="N312:N316" si="549">IF(F312=0,"",M312*I312)</f>
        <v>26.191880000000001</v>
      </c>
      <c r="O312" s="24">
        <f t="shared" ref="O312:O316" si="550">IF(F312=0,"",N312*L312)</f>
        <v>2494.1741567600002</v>
      </c>
      <c r="P312" s="27">
        <f t="shared" ref="P312:P316" si="551">IF(F312=0,"",(K312+O312)/I312)</f>
        <v>15.529510000000002</v>
      </c>
      <c r="Q312" s="24">
        <f t="shared" ref="Q312:Q316" si="552">IF(F312=0,"",(P312*I312))</f>
        <v>3128.8235567600004</v>
      </c>
      <c r="R312" s="123"/>
    </row>
    <row r="313" spans="1:18" x14ac:dyDescent="0.35">
      <c r="A313" s="71" t="str">
        <f>IF(TRIM(G313)&lt;&gt;"",COUNTA(G$11:$G313)&amp;"","")</f>
        <v>169</v>
      </c>
      <c r="B313" s="273"/>
      <c r="C313" s="273"/>
      <c r="D313" s="34"/>
      <c r="E313" s="56" t="s">
        <v>418</v>
      </c>
      <c r="F313" s="73">
        <f>22.69*(5)</f>
        <v>113.45</v>
      </c>
      <c r="G313" s="74" t="s">
        <v>154</v>
      </c>
      <c r="H313" s="22">
        <v>0.1</v>
      </c>
      <c r="I313" s="51">
        <f t="shared" si="547"/>
        <v>124.795</v>
      </c>
      <c r="J313" s="23">
        <v>7.98</v>
      </c>
      <c r="K313" s="24">
        <f t="shared" si="548"/>
        <v>995.86410000000012</v>
      </c>
      <c r="L313" s="25">
        <f t="shared" si="542"/>
        <v>95.227000000000004</v>
      </c>
      <c r="M313" s="26">
        <v>0.14599999999999999</v>
      </c>
      <c r="N313" s="26">
        <f t="shared" si="549"/>
        <v>18.22007</v>
      </c>
      <c r="O313" s="24">
        <f t="shared" si="550"/>
        <v>1735.04260589</v>
      </c>
      <c r="P313" s="27">
        <f t="shared" si="551"/>
        <v>21.883141999999999</v>
      </c>
      <c r="Q313" s="24">
        <f t="shared" si="552"/>
        <v>2730.90670589</v>
      </c>
      <c r="R313" s="123"/>
    </row>
    <row r="314" spans="1:18" x14ac:dyDescent="0.35">
      <c r="A314" s="71" t="str">
        <f>IF(TRIM(G314)&lt;&gt;"",COUNTA(G$11:$G314)&amp;"","")</f>
        <v>170</v>
      </c>
      <c r="B314" s="273"/>
      <c r="C314" s="273"/>
      <c r="D314" s="34"/>
      <c r="E314" s="56" t="s">
        <v>419</v>
      </c>
      <c r="F314" s="73">
        <f>7.9*(5)</f>
        <v>39.5</v>
      </c>
      <c r="G314" s="74" t="s">
        <v>154</v>
      </c>
      <c r="H314" s="22">
        <v>0.1</v>
      </c>
      <c r="I314" s="51">
        <f t="shared" si="547"/>
        <v>43.45</v>
      </c>
      <c r="J314" s="23">
        <v>10.1</v>
      </c>
      <c r="K314" s="24">
        <f t="shared" ref="K314:K316" si="553">IF(F314=0,"",J314*I314)</f>
        <v>438.84500000000003</v>
      </c>
      <c r="L314" s="25">
        <f t="shared" ref="L314:L315" si="554">$L$298</f>
        <v>95.227000000000004</v>
      </c>
      <c r="M314" s="26">
        <v>0.17699999999999999</v>
      </c>
      <c r="N314" s="26">
        <f t="shared" si="549"/>
        <v>7.6906499999999998</v>
      </c>
      <c r="O314" s="24">
        <f t="shared" si="550"/>
        <v>732.35752754999999</v>
      </c>
      <c r="P314" s="27">
        <f t="shared" si="551"/>
        <v>26.955178999999998</v>
      </c>
      <c r="Q314" s="24">
        <f t="shared" si="552"/>
        <v>1171.20252755</v>
      </c>
      <c r="R314" s="123"/>
    </row>
    <row r="315" spans="1:18" x14ac:dyDescent="0.35">
      <c r="A315" s="71" t="str">
        <f>IF(TRIM(G315)&lt;&gt;"",COUNTA(G$11:$G315)&amp;"","")</f>
        <v>171</v>
      </c>
      <c r="B315" s="273"/>
      <c r="C315" s="273"/>
      <c r="D315" s="34"/>
      <c r="E315" s="56" t="s">
        <v>420</v>
      </c>
      <c r="F315" s="73">
        <f>11.05*(5)</f>
        <v>55.25</v>
      </c>
      <c r="G315" s="74" t="s">
        <v>154</v>
      </c>
      <c r="H315" s="22">
        <v>0.1</v>
      </c>
      <c r="I315" s="51">
        <f t="shared" si="547"/>
        <v>60.774999999999999</v>
      </c>
      <c r="J315" s="23">
        <v>3.06</v>
      </c>
      <c r="K315" s="24">
        <f t="shared" si="553"/>
        <v>185.97149999999999</v>
      </c>
      <c r="L315" s="25">
        <f t="shared" si="554"/>
        <v>95.227000000000004</v>
      </c>
      <c r="M315" s="26">
        <v>0.121</v>
      </c>
      <c r="N315" s="26">
        <f t="shared" si="549"/>
        <v>7.3537749999999997</v>
      </c>
      <c r="O315" s="24">
        <f t="shared" si="550"/>
        <v>700.27793192499996</v>
      </c>
      <c r="P315" s="27">
        <f t="shared" si="551"/>
        <v>14.582466999999999</v>
      </c>
      <c r="Q315" s="24">
        <f t="shared" si="552"/>
        <v>886.24943192499995</v>
      </c>
      <c r="R315" s="123"/>
    </row>
    <row r="316" spans="1:18" ht="19.25" customHeight="1" x14ac:dyDescent="0.35">
      <c r="A316" s="71" t="str">
        <f>IF(TRIM(G316)&lt;&gt;"",COUNTA(G$11:$G316)&amp;"","")</f>
        <v/>
      </c>
      <c r="B316" s="273"/>
      <c r="C316" s="273"/>
      <c r="D316" s="34"/>
      <c r="E316" s="247" t="s">
        <v>421</v>
      </c>
      <c r="F316" s="246"/>
      <c r="G316" s="74"/>
      <c r="H316" s="22" t="str">
        <f t="shared" ref="H316" si="555">IF(F316=0,"",0)</f>
        <v/>
      </c>
      <c r="I316" s="51" t="str">
        <f t="shared" si="547"/>
        <v/>
      </c>
      <c r="J316" s="23" t="str">
        <f t="shared" ref="J316" si="556">IF(F316=0,"",0)</f>
        <v/>
      </c>
      <c r="K316" s="24" t="str">
        <f t="shared" si="553"/>
        <v/>
      </c>
      <c r="L316" s="25" t="str">
        <f>IF(F316=0,"",#REF!)</f>
        <v/>
      </c>
      <c r="M316" s="26" t="str">
        <f t="shared" ref="M316" si="557">IF(F316=0,"",0)</f>
        <v/>
      </c>
      <c r="N316" s="26" t="str">
        <f t="shared" si="549"/>
        <v/>
      </c>
      <c r="O316" s="24" t="str">
        <f t="shared" si="550"/>
        <v/>
      </c>
      <c r="P316" s="27" t="str">
        <f t="shared" si="551"/>
        <v/>
      </c>
      <c r="Q316" s="24" t="str">
        <f t="shared" si="552"/>
        <v/>
      </c>
      <c r="R316" s="123"/>
    </row>
    <row r="317" spans="1:18" ht="21.5" customHeight="1" x14ac:dyDescent="0.35">
      <c r="A317" s="71" t="str">
        <f>IF(TRIM(G317)&lt;&gt;"",COUNTA(G$11:$G317)&amp;"","")</f>
        <v/>
      </c>
      <c r="B317" s="273"/>
      <c r="C317" s="273"/>
      <c r="D317" s="34"/>
      <c r="E317" s="263" t="s">
        <v>422</v>
      </c>
      <c r="F317" s="246"/>
      <c r="G317" s="74"/>
      <c r="H317" s="22" t="str">
        <f>IF(F317=0,"",0)</f>
        <v/>
      </c>
      <c r="I317" s="51" t="str">
        <f>IF(F317=0,"",F317+(F317*H317))</f>
        <v/>
      </c>
      <c r="J317" s="23" t="str">
        <f>IF(F317=0,"",0)</f>
        <v/>
      </c>
      <c r="K317" s="24" t="str">
        <f>IF(F317=0,"",J317*I317)</f>
        <v/>
      </c>
      <c r="L317" s="25" t="str">
        <f>IF(F317=0,"",#REF!)</f>
        <v/>
      </c>
      <c r="M317" s="26" t="str">
        <f>IF(F317=0,"",0)</f>
        <v/>
      </c>
      <c r="N317" s="26" t="str">
        <f>IF(F317=0,"",M317*I317)</f>
        <v/>
      </c>
      <c r="O317" s="24" t="str">
        <f>IF(F317=0,"",N317*L317)</f>
        <v/>
      </c>
      <c r="P317" s="27" t="str">
        <f>IF(F317=0,"",(K317+O317)/I317)</f>
        <v/>
      </c>
      <c r="Q317" s="24" t="str">
        <f>IF(F317=0,"",(P317*I317))</f>
        <v/>
      </c>
      <c r="R317" s="123"/>
    </row>
    <row r="318" spans="1:18" x14ac:dyDescent="0.35">
      <c r="A318" s="71" t="str">
        <f>IF(TRIM(G318)&lt;&gt;"",COUNTA(G$11:$G318)&amp;"","")</f>
        <v/>
      </c>
      <c r="B318" s="273"/>
      <c r="C318" s="273"/>
      <c r="D318" s="34"/>
      <c r="E318" s="259" t="s">
        <v>423</v>
      </c>
      <c r="F318" s="73"/>
      <c r="G318" s="74"/>
      <c r="H318" s="22"/>
      <c r="I318" s="51"/>
      <c r="J318" s="23"/>
      <c r="K318" s="24"/>
      <c r="L318" s="25"/>
      <c r="M318" s="26"/>
      <c r="N318" s="26"/>
      <c r="O318" s="24"/>
      <c r="P318" s="27"/>
      <c r="Q318" s="24"/>
      <c r="R318" s="123"/>
    </row>
    <row r="319" spans="1:18" x14ac:dyDescent="0.35">
      <c r="A319" s="71" t="str">
        <f>IF(TRIM(G319)&lt;&gt;"",COUNTA(G$11:$G319)&amp;"","")</f>
        <v>172</v>
      </c>
      <c r="B319" s="273"/>
      <c r="C319" s="273"/>
      <c r="D319" s="34"/>
      <c r="E319" s="56" t="s">
        <v>424</v>
      </c>
      <c r="F319" s="73">
        <f>207.92+549</f>
        <v>756.92</v>
      </c>
      <c r="G319" s="74" t="s">
        <v>154</v>
      </c>
      <c r="H319" s="22">
        <v>0.1</v>
      </c>
      <c r="I319" s="51">
        <f t="shared" ref="I319:I323" si="558">IF(F319=0,"",F319+(F319*H319))</f>
        <v>832.61199999999997</v>
      </c>
      <c r="J319" s="23">
        <v>4.82</v>
      </c>
      <c r="K319" s="24">
        <f t="shared" ref="K319:K323" si="559">IF(F319=0,"",J319*I319)</f>
        <v>4013.18984</v>
      </c>
      <c r="L319" s="25">
        <f t="shared" ref="L319:L325" si="560">$L$298</f>
        <v>95.227000000000004</v>
      </c>
      <c r="M319" s="26">
        <v>0.126</v>
      </c>
      <c r="N319" s="26">
        <f t="shared" ref="N319:N323" si="561">IF(F319=0,"",M319*I319)</f>
        <v>104.90911199999999</v>
      </c>
      <c r="O319" s="24">
        <f t="shared" ref="O319:O323" si="562">IF(F319=0,"",N319*L319)</f>
        <v>9990.1800084240003</v>
      </c>
      <c r="P319" s="27">
        <f t="shared" ref="P319:P323" si="563">IF(F319=0,"",(K319+O319)/I319)</f>
        <v>16.818602000000002</v>
      </c>
      <c r="Q319" s="24">
        <f t="shared" ref="Q319:Q323" si="564">IF(F319=0,"",(P319*I319))</f>
        <v>14003.369848424001</v>
      </c>
      <c r="R319" s="123"/>
    </row>
    <row r="320" spans="1:18" x14ac:dyDescent="0.35">
      <c r="A320" s="71" t="str">
        <f>IF(TRIM(G320)&lt;&gt;"",COUNTA(G$11:$G320)&amp;"","")</f>
        <v>173</v>
      </c>
      <c r="B320" s="273"/>
      <c r="C320" s="273"/>
      <c r="D320" s="34"/>
      <c r="E320" s="56" t="s">
        <v>425</v>
      </c>
      <c r="F320" s="73">
        <v>43.03</v>
      </c>
      <c r="G320" s="74" t="s">
        <v>154</v>
      </c>
      <c r="H320" s="22">
        <v>0.1</v>
      </c>
      <c r="I320" s="51">
        <f t="shared" si="558"/>
        <v>47.332999999999998</v>
      </c>
      <c r="J320" s="23">
        <v>8.66</v>
      </c>
      <c r="K320" s="24">
        <f t="shared" si="559"/>
        <v>409.90377999999998</v>
      </c>
      <c r="L320" s="25">
        <f t="shared" si="560"/>
        <v>95.227000000000004</v>
      </c>
      <c r="M320" s="26">
        <v>0.14599999999999999</v>
      </c>
      <c r="N320" s="26">
        <f t="shared" si="561"/>
        <v>6.9106179999999995</v>
      </c>
      <c r="O320" s="24">
        <f t="shared" si="562"/>
        <v>658.07742028600001</v>
      </c>
      <c r="P320" s="27">
        <f t="shared" si="563"/>
        <v>22.563141999999999</v>
      </c>
      <c r="Q320" s="24">
        <f t="shared" si="564"/>
        <v>1067.9812002859999</v>
      </c>
      <c r="R320" s="123"/>
    </row>
    <row r="321" spans="1:18" x14ac:dyDescent="0.35">
      <c r="A321" s="71" t="str">
        <f>IF(TRIM(G321)&lt;&gt;"",COUNTA(G$11:$G321)&amp;"","")</f>
        <v>174</v>
      </c>
      <c r="B321" s="273"/>
      <c r="C321" s="273"/>
      <c r="D321" s="34"/>
      <c r="E321" s="56" t="s">
        <v>426</v>
      </c>
      <c r="F321" s="73">
        <v>11.14</v>
      </c>
      <c r="G321" s="74" t="s">
        <v>154</v>
      </c>
      <c r="H321" s="22">
        <v>0.1</v>
      </c>
      <c r="I321" s="51">
        <f t="shared" si="558"/>
        <v>12.254000000000001</v>
      </c>
      <c r="J321" s="23">
        <v>12.3</v>
      </c>
      <c r="K321" s="24">
        <f t="shared" si="559"/>
        <v>150.72420000000002</v>
      </c>
      <c r="L321" s="25">
        <f t="shared" si="560"/>
        <v>95.227000000000004</v>
      </c>
      <c r="M321" s="26">
        <v>0.16600000000000001</v>
      </c>
      <c r="N321" s="26">
        <f t="shared" si="561"/>
        <v>2.0341640000000005</v>
      </c>
      <c r="O321" s="24">
        <f t="shared" si="562"/>
        <v>193.70733522800006</v>
      </c>
      <c r="P321" s="27">
        <f t="shared" si="563"/>
        <v>28.107682000000004</v>
      </c>
      <c r="Q321" s="24">
        <f t="shared" si="564"/>
        <v>344.43153522800009</v>
      </c>
      <c r="R321" s="123"/>
    </row>
    <row r="322" spans="1:18" x14ac:dyDescent="0.35">
      <c r="A322" s="71" t="str">
        <f>IF(TRIM(G322)&lt;&gt;"",COUNTA(G$11:$G322)&amp;"","")</f>
        <v>175</v>
      </c>
      <c r="B322" s="273"/>
      <c r="C322" s="273"/>
      <c r="D322" s="34"/>
      <c r="E322" s="56" t="s">
        <v>427</v>
      </c>
      <c r="F322" s="73">
        <v>42.35</v>
      </c>
      <c r="G322" s="74" t="s">
        <v>154</v>
      </c>
      <c r="H322" s="22">
        <v>0.1</v>
      </c>
      <c r="I322" s="51">
        <f t="shared" si="558"/>
        <v>46.585000000000001</v>
      </c>
      <c r="J322" s="23">
        <v>16.3</v>
      </c>
      <c r="K322" s="24">
        <f t="shared" si="559"/>
        <v>759.33550000000002</v>
      </c>
      <c r="L322" s="25">
        <f t="shared" si="560"/>
        <v>95.227000000000004</v>
      </c>
      <c r="M322" s="26">
        <v>0.186</v>
      </c>
      <c r="N322" s="26">
        <f t="shared" si="561"/>
        <v>8.6648099999999992</v>
      </c>
      <c r="O322" s="24">
        <f t="shared" si="562"/>
        <v>825.12386186999993</v>
      </c>
      <c r="P322" s="27">
        <f t="shared" si="563"/>
        <v>34.012222000000001</v>
      </c>
      <c r="Q322" s="24">
        <f t="shared" si="564"/>
        <v>1584.4593618700001</v>
      </c>
      <c r="R322" s="123"/>
    </row>
    <row r="323" spans="1:18" x14ac:dyDescent="0.35">
      <c r="A323" s="71" t="str">
        <f>IF(TRIM(G323)&lt;&gt;"",COUNTA(G$11:$G323)&amp;"","")</f>
        <v>176</v>
      </c>
      <c r="B323" s="273"/>
      <c r="C323" s="273"/>
      <c r="D323" s="34"/>
      <c r="E323" s="56" t="s">
        <v>428</v>
      </c>
      <c r="F323" s="73">
        <f>41.38*(5)</f>
        <v>206.9</v>
      </c>
      <c r="G323" s="74" t="s">
        <v>154</v>
      </c>
      <c r="H323" s="22">
        <v>0.1</v>
      </c>
      <c r="I323" s="51">
        <f t="shared" si="558"/>
        <v>227.59</v>
      </c>
      <c r="J323" s="23">
        <v>3.13</v>
      </c>
      <c r="K323" s="24">
        <f t="shared" si="559"/>
        <v>712.35669999999993</v>
      </c>
      <c r="L323" s="25">
        <f t="shared" si="560"/>
        <v>95.227000000000004</v>
      </c>
      <c r="M323" s="26">
        <v>0.11600000000000001</v>
      </c>
      <c r="N323" s="26">
        <f t="shared" si="561"/>
        <v>26.400440000000003</v>
      </c>
      <c r="O323" s="24">
        <f t="shared" si="562"/>
        <v>2514.0346998800005</v>
      </c>
      <c r="P323" s="27">
        <f t="shared" si="563"/>
        <v>14.176332</v>
      </c>
      <c r="Q323" s="24">
        <f t="shared" si="564"/>
        <v>3226.3913998800003</v>
      </c>
      <c r="R323" s="123"/>
    </row>
    <row r="324" spans="1:18" x14ac:dyDescent="0.35">
      <c r="A324" s="71" t="str">
        <f>IF(TRIM(G324)&lt;&gt;"",COUNTA(G$11:$G324)&amp;"","")</f>
        <v/>
      </c>
      <c r="B324" s="273"/>
      <c r="C324" s="273"/>
      <c r="D324" s="34"/>
      <c r="E324" s="259" t="s">
        <v>429</v>
      </c>
      <c r="F324" s="73"/>
      <c r="G324" s="74"/>
      <c r="H324" s="22"/>
      <c r="I324" s="51"/>
      <c r="J324" s="23"/>
      <c r="K324" s="24"/>
      <c r="L324" s="25"/>
      <c r="M324" s="26"/>
      <c r="N324" s="26"/>
      <c r="O324" s="24"/>
      <c r="P324" s="27"/>
      <c r="Q324" s="24"/>
      <c r="R324" s="123"/>
    </row>
    <row r="325" spans="1:18" x14ac:dyDescent="0.35">
      <c r="A325" s="71" t="str">
        <f>IF(TRIM(G325)&lt;&gt;"",COUNTA(G$11:$G325)&amp;"","")</f>
        <v>177</v>
      </c>
      <c r="B325" s="273"/>
      <c r="C325" s="273"/>
      <c r="D325" s="34"/>
      <c r="E325" s="56" t="s">
        <v>430</v>
      </c>
      <c r="F325" s="73">
        <f>63.07+492</f>
        <v>555.07000000000005</v>
      </c>
      <c r="G325" s="74" t="s">
        <v>154</v>
      </c>
      <c r="H325" s="22">
        <v>0.1</v>
      </c>
      <c r="I325" s="51">
        <f t="shared" ref="I325:I326" si="565">IF(F325=0,"",F325+(F325*H325))</f>
        <v>610.577</v>
      </c>
      <c r="J325" s="23">
        <v>4.82</v>
      </c>
      <c r="K325" s="24">
        <f t="shared" ref="K325" si="566">IF(F325=0,"",J325*I325)</f>
        <v>2942.9811400000003</v>
      </c>
      <c r="L325" s="25">
        <f t="shared" si="560"/>
        <v>95.227000000000004</v>
      </c>
      <c r="M325" s="26">
        <v>0.126</v>
      </c>
      <c r="N325" s="26">
        <f t="shared" ref="N325:N326" si="567">IF(F325=0,"",M325*I325)</f>
        <v>76.932702000000006</v>
      </c>
      <c r="O325" s="24">
        <f t="shared" ref="O325:O326" si="568">IF(F325=0,"",N325*L325)</f>
        <v>7326.0704133540012</v>
      </c>
      <c r="P325" s="27">
        <f t="shared" ref="P325:P326" si="569">IF(F325=0,"",(K325+O325)/I325)</f>
        <v>16.818602000000002</v>
      </c>
      <c r="Q325" s="24">
        <f t="shared" ref="Q325:Q326" si="570">IF(F325=0,"",(P325*I325))</f>
        <v>10269.051553354002</v>
      </c>
      <c r="R325" s="123"/>
    </row>
    <row r="326" spans="1:18" x14ac:dyDescent="0.35">
      <c r="A326" s="71" t="str">
        <f>IF(TRIM(G326)&lt;&gt;"",COUNTA(G$11:$G326)&amp;"","")</f>
        <v>178</v>
      </c>
      <c r="B326" s="273"/>
      <c r="C326" s="273"/>
      <c r="D326" s="34"/>
      <c r="E326" s="56" t="s">
        <v>431</v>
      </c>
      <c r="F326" s="73">
        <f>28.1*(5)</f>
        <v>140.5</v>
      </c>
      <c r="G326" s="74" t="s">
        <v>154</v>
      </c>
      <c r="H326" s="22">
        <v>0.1</v>
      </c>
      <c r="I326" s="51">
        <f t="shared" si="565"/>
        <v>154.55000000000001</v>
      </c>
      <c r="J326" s="23">
        <v>3.13</v>
      </c>
      <c r="K326" s="24">
        <f t="shared" ref="K326" si="571">IF(F326=0,"",J326*I326)</f>
        <v>483.74150000000003</v>
      </c>
      <c r="L326" s="25">
        <f t="shared" ref="L326:L328" si="572">$L$298</f>
        <v>95.227000000000004</v>
      </c>
      <c r="M326" s="26">
        <v>0.11600000000000001</v>
      </c>
      <c r="N326" s="26">
        <f t="shared" si="567"/>
        <v>17.927800000000001</v>
      </c>
      <c r="O326" s="24">
        <f t="shared" si="568"/>
        <v>1707.2106106000001</v>
      </c>
      <c r="P326" s="27">
        <f t="shared" si="569"/>
        <v>14.176332</v>
      </c>
      <c r="Q326" s="24">
        <f t="shared" si="570"/>
        <v>2190.9521106000002</v>
      </c>
      <c r="R326" s="123"/>
    </row>
    <row r="327" spans="1:18" x14ac:dyDescent="0.35">
      <c r="A327" s="71" t="str">
        <f>IF(TRIM(G327)&lt;&gt;"",COUNTA(G$11:$G327)&amp;"","")</f>
        <v/>
      </c>
      <c r="B327" s="273"/>
      <c r="C327" s="273"/>
      <c r="D327" s="34"/>
      <c r="E327" s="259" t="s">
        <v>432</v>
      </c>
      <c r="F327" s="73"/>
      <c r="G327" s="74"/>
      <c r="H327" s="22"/>
      <c r="I327" s="51"/>
      <c r="J327" s="23"/>
      <c r="K327" s="24"/>
      <c r="L327" s="25"/>
      <c r="M327" s="26"/>
      <c r="N327" s="26"/>
      <c r="O327" s="24"/>
      <c r="P327" s="27"/>
      <c r="Q327" s="24"/>
      <c r="R327" s="123"/>
    </row>
    <row r="328" spans="1:18" x14ac:dyDescent="0.35">
      <c r="A328" s="71" t="str">
        <f>IF(TRIM(G328)&lt;&gt;"",COUNTA(G$11:$G328)&amp;"","")</f>
        <v>179</v>
      </c>
      <c r="B328" s="273"/>
      <c r="C328" s="273"/>
      <c r="D328" s="34"/>
      <c r="E328" s="56" t="s">
        <v>433</v>
      </c>
      <c r="F328" s="73">
        <f>60.31+375</f>
        <v>435.31</v>
      </c>
      <c r="G328" s="74" t="s">
        <v>154</v>
      </c>
      <c r="H328" s="22">
        <v>0.1</v>
      </c>
      <c r="I328" s="51">
        <f t="shared" ref="I328:I329" si="573">IF(F328=0,"",F328+(F328*H328))</f>
        <v>478.84100000000001</v>
      </c>
      <c r="J328" s="23">
        <v>3.13</v>
      </c>
      <c r="K328" s="24">
        <f t="shared" ref="K328" si="574">IF(F328=0,"",J328*I328)</f>
        <v>1498.77233</v>
      </c>
      <c r="L328" s="25">
        <f t="shared" si="572"/>
        <v>95.227000000000004</v>
      </c>
      <c r="M328" s="26">
        <v>0.11600000000000001</v>
      </c>
      <c r="N328" s="26">
        <f t="shared" ref="N328:N329" si="575">IF(F328=0,"",M328*I328)</f>
        <v>55.545556000000005</v>
      </c>
      <c r="O328" s="24">
        <f t="shared" ref="O328:O329" si="576">IF(F328=0,"",N328*L328)</f>
        <v>5289.4366612120011</v>
      </c>
      <c r="P328" s="27">
        <f t="shared" ref="P328:P329" si="577">IF(F328=0,"",(K328+O328)/I328)</f>
        <v>14.176332000000002</v>
      </c>
      <c r="Q328" s="24">
        <f t="shared" ref="Q328:Q329" si="578">IF(F328=0,"",(P328*I328))</f>
        <v>6788.2089912120009</v>
      </c>
      <c r="R328" s="123"/>
    </row>
    <row r="329" spans="1:18" ht="19.25" customHeight="1" x14ac:dyDescent="0.35">
      <c r="A329" s="71" t="str">
        <f>IF(TRIM(G329)&lt;&gt;"",COUNTA(G$11:$G329)&amp;"","")</f>
        <v/>
      </c>
      <c r="B329" s="273"/>
      <c r="C329" s="273"/>
      <c r="D329" s="34"/>
      <c r="E329" s="247" t="s">
        <v>434</v>
      </c>
      <c r="F329" s="246"/>
      <c r="G329" s="74"/>
      <c r="H329" s="22" t="str">
        <f t="shared" ref="H329" si="579">IF(F329=0,"",0)</f>
        <v/>
      </c>
      <c r="I329" s="51" t="str">
        <f t="shared" si="573"/>
        <v/>
      </c>
      <c r="J329" s="23" t="str">
        <f t="shared" ref="J329" si="580">IF(F329=0,"",0)</f>
        <v/>
      </c>
      <c r="K329" s="24" t="str">
        <f t="shared" ref="K329" si="581">IF(F329=0,"",J329*I329)</f>
        <v/>
      </c>
      <c r="L329" s="25" t="str">
        <f>IF(F329=0,"",#REF!)</f>
        <v/>
      </c>
      <c r="M329" s="26" t="str">
        <f t="shared" ref="M329" si="582">IF(F329=0,"",0)</f>
        <v/>
      </c>
      <c r="N329" s="26" t="str">
        <f t="shared" si="575"/>
        <v/>
      </c>
      <c r="O329" s="24" t="str">
        <f t="shared" si="576"/>
        <v/>
      </c>
      <c r="P329" s="27" t="str">
        <f t="shared" si="577"/>
        <v/>
      </c>
      <c r="Q329" s="24" t="str">
        <f t="shared" si="578"/>
        <v/>
      </c>
      <c r="R329" s="123"/>
    </row>
    <row r="330" spans="1:18" ht="21.5" customHeight="1" x14ac:dyDescent="0.35">
      <c r="A330" s="71" t="str">
        <f>IF(TRIM(G330)&lt;&gt;"",COUNTA(G$11:$G330)&amp;"","")</f>
        <v/>
      </c>
      <c r="B330" s="273"/>
      <c r="C330" s="273"/>
      <c r="D330" s="34"/>
      <c r="E330" s="263" t="s">
        <v>435</v>
      </c>
      <c r="F330" s="246"/>
      <c r="G330" s="74"/>
      <c r="H330" s="22" t="str">
        <f>IF(F330=0,"",0)</f>
        <v/>
      </c>
      <c r="I330" s="51" t="str">
        <f>IF(F330=0,"",F330+(F330*H330))</f>
        <v/>
      </c>
      <c r="J330" s="23" t="str">
        <f>IF(F330=0,"",0)</f>
        <v/>
      </c>
      <c r="K330" s="24" t="str">
        <f>IF(F330=0,"",J330*I330)</f>
        <v/>
      </c>
      <c r="L330" s="25" t="str">
        <f>IF(F330=0,"",#REF!)</f>
        <v/>
      </c>
      <c r="M330" s="26" t="str">
        <f>IF(F330=0,"",0)</f>
        <v/>
      </c>
      <c r="N330" s="26" t="str">
        <f>IF(F330=0,"",M330*I330)</f>
        <v/>
      </c>
      <c r="O330" s="24" t="str">
        <f>IF(F330=0,"",N330*L330)</f>
        <v/>
      </c>
      <c r="P330" s="27" t="str">
        <f>IF(F330=0,"",(K330+O330)/I330)</f>
        <v/>
      </c>
      <c r="Q330" s="24" t="str">
        <f>IF(F330=0,"",(P330*I330))</f>
        <v/>
      </c>
      <c r="R330" s="123"/>
    </row>
    <row r="331" spans="1:18" x14ac:dyDescent="0.35">
      <c r="A331" s="71" t="str">
        <f>IF(TRIM(G331)&lt;&gt;"",COUNTA(G$11:$G331)&amp;"","")</f>
        <v>180</v>
      </c>
      <c r="B331" s="273"/>
      <c r="C331" s="273"/>
      <c r="D331" s="34"/>
      <c r="E331" s="56" t="s">
        <v>424</v>
      </c>
      <c r="F331" s="73">
        <f>207.92+549</f>
        <v>756.92</v>
      </c>
      <c r="G331" s="74" t="s">
        <v>154</v>
      </c>
      <c r="H331" s="22">
        <v>0.1</v>
      </c>
      <c r="I331" s="51">
        <f t="shared" ref="I331:I337" si="583">IF(F331=0,"",F331+(F331*H331))</f>
        <v>832.61199999999997</v>
      </c>
      <c r="J331" s="23">
        <v>2.89</v>
      </c>
      <c r="K331" s="24">
        <f t="shared" ref="K331:K337" si="584">IF(F331=0,"",J331*I331)</f>
        <v>2406.2486800000001</v>
      </c>
      <c r="L331" s="25">
        <f t="shared" ref="L331:L339" si="585">$L$298</f>
        <v>95.227000000000004</v>
      </c>
      <c r="M331" s="26">
        <v>3.7999999999999999E-2</v>
      </c>
      <c r="N331" s="26">
        <f t="shared" ref="N331:N337" si="586">IF(F331=0,"",M331*I331)</f>
        <v>31.639256</v>
      </c>
      <c r="O331" s="24">
        <f t="shared" ref="O331:O337" si="587">IF(F331=0,"",N331*L331)</f>
        <v>3012.9114311120002</v>
      </c>
      <c r="P331" s="27">
        <f t="shared" ref="P331:P337" si="588">IF(F331=0,"",(K331+O331)/I331)</f>
        <v>6.5086260000000005</v>
      </c>
      <c r="Q331" s="24">
        <f t="shared" ref="Q331:Q337" si="589">IF(F331=0,"",(P331*I331))</f>
        <v>5419.1601111119999</v>
      </c>
      <c r="R331" s="123"/>
    </row>
    <row r="332" spans="1:18" x14ac:dyDescent="0.35">
      <c r="A332" s="71" t="str">
        <f>IF(TRIM(G332)&lt;&gt;"",COUNTA(G$11:$G332)&amp;"","")</f>
        <v>181</v>
      </c>
      <c r="B332" s="273"/>
      <c r="C332" s="273"/>
      <c r="D332" s="34"/>
      <c r="E332" s="56" t="s">
        <v>425</v>
      </c>
      <c r="F332" s="73">
        <v>43.03</v>
      </c>
      <c r="G332" s="74" t="s">
        <v>154</v>
      </c>
      <c r="H332" s="22">
        <v>0.1</v>
      </c>
      <c r="I332" s="51">
        <f t="shared" si="583"/>
        <v>47.332999999999998</v>
      </c>
      <c r="J332" s="23">
        <v>3.08</v>
      </c>
      <c r="K332" s="24">
        <f t="shared" si="584"/>
        <v>145.78564</v>
      </c>
      <c r="L332" s="25">
        <f t="shared" si="585"/>
        <v>95.227000000000004</v>
      </c>
      <c r="M332" s="26">
        <v>0.04</v>
      </c>
      <c r="N332" s="26">
        <f t="shared" si="586"/>
        <v>1.8933199999999999</v>
      </c>
      <c r="O332" s="24">
        <f t="shared" si="587"/>
        <v>180.29518364</v>
      </c>
      <c r="P332" s="27">
        <f t="shared" si="588"/>
        <v>6.8890800000000008</v>
      </c>
      <c r="Q332" s="24">
        <f t="shared" si="589"/>
        <v>326.08082364000001</v>
      </c>
      <c r="R332" s="123"/>
    </row>
    <row r="333" spans="1:18" x14ac:dyDescent="0.35">
      <c r="A333" s="71" t="str">
        <f>IF(TRIM(G333)&lt;&gt;"",COUNTA(G$11:$G333)&amp;"","")</f>
        <v>182</v>
      </c>
      <c r="B333" s="273"/>
      <c r="C333" s="273"/>
      <c r="D333" s="34"/>
      <c r="E333" s="56" t="s">
        <v>426</v>
      </c>
      <c r="F333" s="73">
        <v>11.14</v>
      </c>
      <c r="G333" s="74" t="s">
        <v>154</v>
      </c>
      <c r="H333" s="22">
        <v>0.1</v>
      </c>
      <c r="I333" s="51">
        <f t="shared" si="583"/>
        <v>12.254000000000001</v>
      </c>
      <c r="J333" s="23">
        <v>3.41</v>
      </c>
      <c r="K333" s="24">
        <f t="shared" si="584"/>
        <v>41.786140000000003</v>
      </c>
      <c r="L333" s="25">
        <f t="shared" si="585"/>
        <v>95.227000000000004</v>
      </c>
      <c r="M333" s="26">
        <v>0.04</v>
      </c>
      <c r="N333" s="26">
        <f t="shared" si="586"/>
        <v>0.49016000000000004</v>
      </c>
      <c r="O333" s="24">
        <f t="shared" si="587"/>
        <v>46.676466320000003</v>
      </c>
      <c r="P333" s="27">
        <f t="shared" si="588"/>
        <v>7.2190799999999999</v>
      </c>
      <c r="Q333" s="24">
        <f t="shared" si="589"/>
        <v>88.462606320000006</v>
      </c>
      <c r="R333" s="123"/>
    </row>
    <row r="334" spans="1:18" x14ac:dyDescent="0.35">
      <c r="A334" s="71" t="str">
        <f>IF(TRIM(G334)&lt;&gt;"",COUNTA(G$11:$G334)&amp;"","")</f>
        <v>183</v>
      </c>
      <c r="B334" s="273"/>
      <c r="C334" s="273"/>
      <c r="D334" s="34"/>
      <c r="E334" s="56" t="s">
        <v>427</v>
      </c>
      <c r="F334" s="73">
        <v>42.35</v>
      </c>
      <c r="G334" s="74" t="s">
        <v>154</v>
      </c>
      <c r="H334" s="22">
        <v>0.1</v>
      </c>
      <c r="I334" s="51">
        <f t="shared" si="583"/>
        <v>46.585000000000001</v>
      </c>
      <c r="J334" s="23">
        <v>3.55</v>
      </c>
      <c r="K334" s="24">
        <f t="shared" si="584"/>
        <v>165.37674999999999</v>
      </c>
      <c r="L334" s="25">
        <f t="shared" si="585"/>
        <v>95.227000000000004</v>
      </c>
      <c r="M334" s="26">
        <v>4.2000000000000003E-2</v>
      </c>
      <c r="N334" s="26">
        <f t="shared" si="586"/>
        <v>1.9565700000000001</v>
      </c>
      <c r="O334" s="24">
        <f t="shared" si="587"/>
        <v>186.31829139000001</v>
      </c>
      <c r="P334" s="27">
        <f t="shared" si="588"/>
        <v>7.5495340000000004</v>
      </c>
      <c r="Q334" s="24">
        <f t="shared" si="589"/>
        <v>351.69504139000003</v>
      </c>
      <c r="R334" s="123"/>
    </row>
    <row r="335" spans="1:18" x14ac:dyDescent="0.35">
      <c r="A335" s="71" t="str">
        <f>IF(TRIM(G335)&lt;&gt;"",COUNTA(G$11:$G335)&amp;"","")</f>
        <v>184</v>
      </c>
      <c r="B335" s="273"/>
      <c r="C335" s="273"/>
      <c r="D335" s="34"/>
      <c r="E335" s="56" t="s">
        <v>428</v>
      </c>
      <c r="F335" s="73">
        <f>41.38*(5)</f>
        <v>206.9</v>
      </c>
      <c r="G335" s="74" t="s">
        <v>154</v>
      </c>
      <c r="H335" s="22">
        <v>0.1</v>
      </c>
      <c r="I335" s="51">
        <f t="shared" si="583"/>
        <v>227.59</v>
      </c>
      <c r="J335" s="23">
        <v>2.65</v>
      </c>
      <c r="K335" s="24">
        <f t="shared" si="584"/>
        <v>603.11350000000004</v>
      </c>
      <c r="L335" s="25">
        <f t="shared" si="585"/>
        <v>95.227000000000004</v>
      </c>
      <c r="M335" s="26">
        <v>3.7999999999999999E-2</v>
      </c>
      <c r="N335" s="26">
        <f t="shared" si="586"/>
        <v>8.6484199999999998</v>
      </c>
      <c r="O335" s="24">
        <f t="shared" si="587"/>
        <v>823.56309134000003</v>
      </c>
      <c r="P335" s="27">
        <f t="shared" si="588"/>
        <v>6.2686259999999994</v>
      </c>
      <c r="Q335" s="24">
        <f t="shared" si="589"/>
        <v>1426.67659134</v>
      </c>
      <c r="R335" s="123"/>
    </row>
    <row r="336" spans="1:18" x14ac:dyDescent="0.35">
      <c r="A336" s="71" t="str">
        <f>IF(TRIM(G336)&lt;&gt;"",COUNTA(G$11:$G336)&amp;"","")</f>
        <v>185</v>
      </c>
      <c r="B336" s="273"/>
      <c r="C336" s="273"/>
      <c r="D336" s="34"/>
      <c r="E336" s="56" t="s">
        <v>431</v>
      </c>
      <c r="F336" s="73">
        <f>28.1*(5)</f>
        <v>140.5</v>
      </c>
      <c r="G336" s="74" t="s">
        <v>154</v>
      </c>
      <c r="H336" s="22">
        <v>0.1</v>
      </c>
      <c r="I336" s="51">
        <f t="shared" si="583"/>
        <v>154.55000000000001</v>
      </c>
      <c r="J336" s="23">
        <v>2.65</v>
      </c>
      <c r="K336" s="24">
        <f t="shared" si="584"/>
        <v>409.5575</v>
      </c>
      <c r="L336" s="25">
        <f t="shared" si="585"/>
        <v>95.227000000000004</v>
      </c>
      <c r="M336" s="26">
        <v>3.7999999999999999E-2</v>
      </c>
      <c r="N336" s="26">
        <f t="shared" si="586"/>
        <v>5.8729000000000005</v>
      </c>
      <c r="O336" s="24">
        <f t="shared" si="587"/>
        <v>559.25864830000012</v>
      </c>
      <c r="P336" s="27">
        <f t="shared" si="588"/>
        <v>6.2686260000000003</v>
      </c>
      <c r="Q336" s="24">
        <f t="shared" si="589"/>
        <v>968.81614830000012</v>
      </c>
      <c r="R336" s="123"/>
    </row>
    <row r="337" spans="1:18" x14ac:dyDescent="0.35">
      <c r="A337" s="71" t="str">
        <f>IF(TRIM(G337)&lt;&gt;"",COUNTA(G$11:$G337)&amp;"","")</f>
        <v>186</v>
      </c>
      <c r="B337" s="273"/>
      <c r="C337" s="273"/>
      <c r="D337" s="34"/>
      <c r="E337" s="56" t="s">
        <v>433</v>
      </c>
      <c r="F337" s="73">
        <f>60.31+375</f>
        <v>435.31</v>
      </c>
      <c r="G337" s="74" t="s">
        <v>154</v>
      </c>
      <c r="H337" s="22">
        <v>0.1</v>
      </c>
      <c r="I337" s="51">
        <f t="shared" si="583"/>
        <v>478.84100000000001</v>
      </c>
      <c r="J337" s="23">
        <v>2.65</v>
      </c>
      <c r="K337" s="24">
        <f t="shared" si="584"/>
        <v>1268.9286500000001</v>
      </c>
      <c r="L337" s="25">
        <f t="shared" si="585"/>
        <v>95.227000000000004</v>
      </c>
      <c r="M337" s="26">
        <v>3.7999999999999999E-2</v>
      </c>
      <c r="N337" s="26">
        <f t="shared" si="586"/>
        <v>18.195958000000001</v>
      </c>
      <c r="O337" s="24">
        <f t="shared" si="587"/>
        <v>1732.7464924660001</v>
      </c>
      <c r="P337" s="27">
        <f t="shared" si="588"/>
        <v>6.2686260000000003</v>
      </c>
      <c r="Q337" s="24">
        <f t="shared" si="589"/>
        <v>3001.6751424660001</v>
      </c>
      <c r="R337" s="123"/>
    </row>
    <row r="338" spans="1:18" ht="21.5" customHeight="1" x14ac:dyDescent="0.35">
      <c r="A338" s="71" t="str">
        <f>IF(TRIM(G338)&lt;&gt;"",COUNTA(G$11:$G338)&amp;"","")</f>
        <v/>
      </c>
      <c r="B338" s="273"/>
      <c r="C338" s="273"/>
      <c r="D338" s="34"/>
      <c r="E338" s="263" t="s">
        <v>436</v>
      </c>
      <c r="F338" s="246"/>
      <c r="G338" s="74"/>
      <c r="H338" s="22" t="str">
        <f>IF(F338=0,"",0)</f>
        <v/>
      </c>
      <c r="I338" s="51" t="str">
        <f>IF(F338=0,"",F338+(F338*H338))</f>
        <v/>
      </c>
      <c r="J338" s="23" t="str">
        <f>IF(F338=0,"",0)</f>
        <v/>
      </c>
      <c r="K338" s="24" t="str">
        <f>IF(F338=0,"",J338*I338)</f>
        <v/>
      </c>
      <c r="L338" s="25" t="str">
        <f>IF(F338=0,"",#REF!)</f>
        <v/>
      </c>
      <c r="M338" s="26" t="s">
        <v>648</v>
      </c>
      <c r="N338" s="26" t="str">
        <f>IF(F338=0,"",M338*I338)</f>
        <v/>
      </c>
      <c r="O338" s="24" t="str">
        <f>IF(F338=0,"",N338*L338)</f>
        <v/>
      </c>
      <c r="P338" s="27" t="str">
        <f>IF(F338=0,"",(K338+O338)/I338)</f>
        <v/>
      </c>
      <c r="Q338" s="24" t="str">
        <f>IF(F338=0,"",(P338*I338))</f>
        <v/>
      </c>
      <c r="R338" s="123"/>
    </row>
    <row r="339" spans="1:18" x14ac:dyDescent="0.35">
      <c r="A339" s="71" t="str">
        <f>IF(TRIM(G339)&lt;&gt;"",COUNTA(G$11:$G339)&amp;"","")</f>
        <v>187</v>
      </c>
      <c r="B339" s="273"/>
      <c r="C339" s="273"/>
      <c r="D339" s="34"/>
      <c r="E339" s="56" t="s">
        <v>430</v>
      </c>
      <c r="F339" s="73">
        <f>63.07+492</f>
        <v>555.07000000000005</v>
      </c>
      <c r="G339" s="74" t="s">
        <v>154</v>
      </c>
      <c r="H339" s="22">
        <v>0.1</v>
      </c>
      <c r="I339" s="51">
        <f t="shared" ref="I339" si="590">IF(F339=0,"",F339+(F339*H339))</f>
        <v>610.577</v>
      </c>
      <c r="J339" s="23">
        <v>2.89</v>
      </c>
      <c r="K339" s="24">
        <f t="shared" ref="K339" si="591">IF(F339=0,"",J339*I339)</f>
        <v>1764.56753</v>
      </c>
      <c r="L339" s="25">
        <f t="shared" si="585"/>
        <v>95.227000000000004</v>
      </c>
      <c r="M339" s="26">
        <v>3.7999999999999999E-2</v>
      </c>
      <c r="N339" s="26">
        <f t="shared" ref="N339" si="592">IF(F339=0,"",M339*I339)</f>
        <v>23.201926</v>
      </c>
      <c r="O339" s="24">
        <f t="shared" ref="O339" si="593">IF(F339=0,"",N339*L339)</f>
        <v>2209.4498072020001</v>
      </c>
      <c r="P339" s="27">
        <f t="shared" ref="P339" si="594">IF(F339=0,"",(K339+O339)/I339)</f>
        <v>6.5086259999999996</v>
      </c>
      <c r="Q339" s="24">
        <f t="shared" ref="Q339" si="595">IF(F339=0,"",(P339*I339))</f>
        <v>3974.0173372019999</v>
      </c>
      <c r="R339" s="123"/>
    </row>
    <row r="340" spans="1:18" x14ac:dyDescent="0.35">
      <c r="A340" s="71" t="str">
        <f>IF(TRIM(G340)&lt;&gt;"",COUNTA(G$11:$G340)&amp;"","")</f>
        <v/>
      </c>
      <c r="B340" s="273"/>
      <c r="C340" s="273"/>
      <c r="D340" s="34"/>
      <c r="E340" s="247" t="s">
        <v>437</v>
      </c>
      <c r="F340" s="73"/>
      <c r="G340" s="74"/>
      <c r="H340" s="22"/>
      <c r="I340" s="51"/>
      <c r="J340" s="23"/>
      <c r="K340" s="24"/>
      <c r="L340" s="25"/>
      <c r="M340" s="26"/>
      <c r="N340" s="26"/>
      <c r="O340" s="24"/>
      <c r="P340" s="27"/>
      <c r="Q340" s="24"/>
      <c r="R340" s="123"/>
    </row>
    <row r="341" spans="1:18" ht="43.5" x14ac:dyDescent="0.35">
      <c r="A341" s="71" t="str">
        <f>IF(TRIM(G341)&lt;&gt;"",COUNTA(G$11:$G341)&amp;"","")</f>
        <v>188</v>
      </c>
      <c r="B341" s="273"/>
      <c r="C341" s="273"/>
      <c r="D341" s="34"/>
      <c r="E341" s="56" t="s">
        <v>438</v>
      </c>
      <c r="F341" s="73">
        <v>6</v>
      </c>
      <c r="G341" s="74" t="s">
        <v>192</v>
      </c>
      <c r="H341" s="22">
        <v>0</v>
      </c>
      <c r="I341" s="51">
        <f t="shared" ref="I341" si="596">IF(F341=0,"",F341+(F341*H341))</f>
        <v>6</v>
      </c>
      <c r="J341" s="23">
        <v>95</v>
      </c>
      <c r="K341" s="24">
        <f t="shared" ref="K341" si="597">IF(F341=0,"",J341*I341)</f>
        <v>570</v>
      </c>
      <c r="L341" s="25">
        <f>$L$298</f>
        <v>95.227000000000004</v>
      </c>
      <c r="M341" s="26">
        <v>0.78849999999999998</v>
      </c>
      <c r="N341" s="26">
        <f t="shared" ref="N341" si="598">IF(F341=0,"",M341*I341)</f>
        <v>4.7309999999999999</v>
      </c>
      <c r="O341" s="24">
        <f t="shared" ref="O341" si="599">IF(F341=0,"",N341*L341)</f>
        <v>450.51893699999999</v>
      </c>
      <c r="P341" s="27">
        <f t="shared" ref="P341" si="600">IF(F341=0,"",(K341+O341)/I341)</f>
        <v>170.0864895</v>
      </c>
      <c r="Q341" s="24">
        <f t="shared" ref="Q341" si="601">IF(F341=0,"",(P341*I341))</f>
        <v>1020.5189370000001</v>
      </c>
      <c r="R341" s="123"/>
    </row>
    <row r="342" spans="1:18" x14ac:dyDescent="0.35">
      <c r="A342" s="71" t="str">
        <f>IF(TRIM(G342)&lt;&gt;"",COUNTA(G$11:$G342)&amp;"","")</f>
        <v/>
      </c>
      <c r="B342" s="273"/>
      <c r="C342" s="273"/>
      <c r="D342" s="34"/>
      <c r="E342" s="265" t="s">
        <v>439</v>
      </c>
      <c r="F342" s="73"/>
      <c r="G342" s="74"/>
      <c r="H342" s="22"/>
      <c r="I342" s="51"/>
      <c r="J342" s="23"/>
      <c r="K342" s="24"/>
      <c r="L342" s="25"/>
      <c r="M342" s="26"/>
      <c r="N342" s="26"/>
      <c r="O342" s="24"/>
      <c r="P342" s="27"/>
      <c r="Q342" s="24"/>
      <c r="R342" s="123"/>
    </row>
    <row r="343" spans="1:18" ht="43.5" x14ac:dyDescent="0.35">
      <c r="A343" s="71" t="str">
        <f>IF(TRIM(G343)&lt;&gt;"",COUNTA(G$11:$G343)&amp;"","")</f>
        <v>189</v>
      </c>
      <c r="B343" s="273"/>
      <c r="C343" s="273"/>
      <c r="D343" s="34"/>
      <c r="E343" s="56" t="s">
        <v>440</v>
      </c>
      <c r="F343" s="73">
        <v>2</v>
      </c>
      <c r="G343" s="74" t="s">
        <v>192</v>
      </c>
      <c r="H343" s="22">
        <v>0</v>
      </c>
      <c r="I343" s="51">
        <f t="shared" ref="I343:I344" si="602">IF(F343=0,"",F343+(F343*H343))</f>
        <v>2</v>
      </c>
      <c r="J343" s="23">
        <v>45</v>
      </c>
      <c r="K343" s="24">
        <f t="shared" ref="K343:K344" si="603">IF(F343=0,"",J343*I343)</f>
        <v>90</v>
      </c>
      <c r="L343" s="25">
        <f>$L$298</f>
        <v>95.227000000000004</v>
      </c>
      <c r="M343" s="26">
        <v>0.3735</v>
      </c>
      <c r="N343" s="26">
        <f t="shared" ref="N343:N344" si="604">IF(F343=0,"",M343*I343)</f>
        <v>0.747</v>
      </c>
      <c r="O343" s="24">
        <f t="shared" ref="O343:O344" si="605">IF(F343=0,"",N343*L343)</f>
        <v>71.134568999999999</v>
      </c>
      <c r="P343" s="27">
        <f t="shared" ref="P343:P344" si="606">IF(F343=0,"",(K343+O343)/I343)</f>
        <v>80.5672845</v>
      </c>
      <c r="Q343" s="24">
        <f t="shared" ref="Q343:Q344" si="607">IF(F343=0,"",(P343*I343))</f>
        <v>161.134569</v>
      </c>
      <c r="R343" s="123"/>
    </row>
    <row r="344" spans="1:18" ht="43.5" x14ac:dyDescent="0.35">
      <c r="A344" s="71" t="str">
        <f>IF(TRIM(G344)&lt;&gt;"",COUNTA(G$11:$G344)&amp;"","")</f>
        <v>190</v>
      </c>
      <c r="B344" s="273"/>
      <c r="C344" s="273"/>
      <c r="D344" s="34"/>
      <c r="E344" s="56" t="s">
        <v>441</v>
      </c>
      <c r="F344" s="73">
        <v>6</v>
      </c>
      <c r="G344" s="74" t="s">
        <v>192</v>
      </c>
      <c r="H344" s="22">
        <v>0</v>
      </c>
      <c r="I344" s="51">
        <f t="shared" si="602"/>
        <v>6</v>
      </c>
      <c r="J344" s="23">
        <v>38</v>
      </c>
      <c r="K344" s="24">
        <f t="shared" si="603"/>
        <v>228</v>
      </c>
      <c r="L344" s="25">
        <f>$L$298</f>
        <v>95.227000000000004</v>
      </c>
      <c r="M344" s="26">
        <v>0.31540000000000001</v>
      </c>
      <c r="N344" s="26">
        <f t="shared" si="604"/>
        <v>1.8924000000000001</v>
      </c>
      <c r="O344" s="24">
        <f t="shared" si="605"/>
        <v>180.2075748</v>
      </c>
      <c r="P344" s="27">
        <f t="shared" si="606"/>
        <v>68.034595799999991</v>
      </c>
      <c r="Q344" s="24">
        <f t="shared" si="607"/>
        <v>408.20757479999997</v>
      </c>
      <c r="R344" s="123"/>
    </row>
    <row r="345" spans="1:18" x14ac:dyDescent="0.35">
      <c r="A345" s="71" t="str">
        <f>IF(TRIM(G345)&lt;&gt;"",COUNTA(G$11:$G345)&amp;"","")</f>
        <v/>
      </c>
      <c r="B345" s="273"/>
      <c r="C345" s="273"/>
      <c r="D345" s="34"/>
      <c r="E345" s="247" t="s">
        <v>195</v>
      </c>
      <c r="F345" s="73"/>
      <c r="G345" s="74"/>
      <c r="H345" s="22"/>
      <c r="I345" s="51"/>
      <c r="J345" s="23"/>
      <c r="K345" s="24"/>
      <c r="L345" s="25"/>
      <c r="M345" s="26"/>
      <c r="N345" s="26"/>
      <c r="O345" s="24"/>
      <c r="P345" s="27"/>
      <c r="Q345" s="24"/>
      <c r="R345" s="123"/>
    </row>
    <row r="346" spans="1:18" ht="43.5" x14ac:dyDescent="0.35">
      <c r="A346" s="71" t="str">
        <f>IF(TRIM(G346)&lt;&gt;"",COUNTA(G$11:$G346)&amp;"","")</f>
        <v>191</v>
      </c>
      <c r="B346" s="273"/>
      <c r="C346" s="273"/>
      <c r="D346" s="34"/>
      <c r="E346" s="56" t="s">
        <v>442</v>
      </c>
      <c r="F346" s="73">
        <v>6</v>
      </c>
      <c r="G346" s="74" t="s">
        <v>192</v>
      </c>
      <c r="H346" s="22">
        <v>0</v>
      </c>
      <c r="I346" s="51">
        <f t="shared" ref="I346:I353" si="608">IF(F346=0,"",F346+(F346*H346))</f>
        <v>6</v>
      </c>
      <c r="J346" s="23">
        <v>60</v>
      </c>
      <c r="K346" s="24">
        <f t="shared" ref="K346:K353" si="609">IF(F346=0,"",J346*I346)</f>
        <v>360</v>
      </c>
      <c r="L346" s="25">
        <f>$L$298</f>
        <v>95.227000000000004</v>
      </c>
      <c r="M346" s="26">
        <v>0.498</v>
      </c>
      <c r="N346" s="26">
        <f t="shared" ref="N346:N353" si="610">IF(F346=0,"",M346*I346)</f>
        <v>2.988</v>
      </c>
      <c r="O346" s="24">
        <f t="shared" ref="O346:O353" si="611">IF(F346=0,"",N346*L346)</f>
        <v>284.538276</v>
      </c>
      <c r="P346" s="27">
        <f t="shared" ref="P346:P353" si="612">IF(F346=0,"",(K346+O346)/I346)</f>
        <v>107.423046</v>
      </c>
      <c r="Q346" s="24">
        <f t="shared" ref="Q346:Q353" si="613">IF(F346=0,"",(P346*I346))</f>
        <v>644.538276</v>
      </c>
      <c r="R346" s="123"/>
    </row>
    <row r="347" spans="1:18" x14ac:dyDescent="0.35">
      <c r="A347" s="71" t="str">
        <f>IF(TRIM(G347)&lt;&gt;"",COUNTA(G$11:$G347)&amp;"","")</f>
        <v>192</v>
      </c>
      <c r="B347" s="273"/>
      <c r="C347" s="273"/>
      <c r="D347" s="34"/>
      <c r="E347" s="56" t="s">
        <v>637</v>
      </c>
      <c r="F347" s="73">
        <f>3*(5)</f>
        <v>15</v>
      </c>
      <c r="G347" s="74" t="s">
        <v>192</v>
      </c>
      <c r="H347" s="22">
        <v>0</v>
      </c>
      <c r="I347" s="51">
        <f t="shared" si="608"/>
        <v>15</v>
      </c>
      <c r="J347" s="23">
        <v>485</v>
      </c>
      <c r="K347" s="24">
        <f t="shared" si="609"/>
        <v>7275</v>
      </c>
      <c r="L347" s="25">
        <f t="shared" ref="L347:L353" si="614">$L$298</f>
        <v>95.227000000000004</v>
      </c>
      <c r="M347" s="26">
        <v>3.4</v>
      </c>
      <c r="N347" s="26">
        <f t="shared" si="610"/>
        <v>51</v>
      </c>
      <c r="O347" s="24">
        <f t="shared" si="611"/>
        <v>4856.5770000000002</v>
      </c>
      <c r="P347" s="27">
        <f t="shared" si="612"/>
        <v>808.7718000000001</v>
      </c>
      <c r="Q347" s="24">
        <f t="shared" si="613"/>
        <v>12131.577000000001</v>
      </c>
      <c r="R347" s="123"/>
    </row>
    <row r="348" spans="1:18" x14ac:dyDescent="0.35">
      <c r="A348" s="71" t="str">
        <f>IF(TRIM(G348)&lt;&gt;"",COUNTA(G$11:$G348)&amp;"","")</f>
        <v>193</v>
      </c>
      <c r="B348" s="273"/>
      <c r="C348" s="273"/>
      <c r="D348" s="34"/>
      <c r="E348" s="56" t="s">
        <v>443</v>
      </c>
      <c r="F348" s="73">
        <f>3*(5)</f>
        <v>15</v>
      </c>
      <c r="G348" s="74" t="s">
        <v>192</v>
      </c>
      <c r="H348" s="22">
        <v>0</v>
      </c>
      <c r="I348" s="51">
        <f t="shared" si="608"/>
        <v>15</v>
      </c>
      <c r="J348" s="23">
        <v>385</v>
      </c>
      <c r="K348" s="24">
        <f t="shared" si="609"/>
        <v>5775</v>
      </c>
      <c r="L348" s="25">
        <f t="shared" si="614"/>
        <v>95.227000000000004</v>
      </c>
      <c r="M348" s="26">
        <v>3.35</v>
      </c>
      <c r="N348" s="26">
        <f t="shared" si="610"/>
        <v>50.25</v>
      </c>
      <c r="O348" s="24">
        <f t="shared" si="611"/>
        <v>4785.1567500000001</v>
      </c>
      <c r="P348" s="27">
        <f t="shared" si="612"/>
        <v>704.01044999999999</v>
      </c>
      <c r="Q348" s="24">
        <f t="shared" si="613"/>
        <v>10560.15675</v>
      </c>
      <c r="R348" s="123"/>
    </row>
    <row r="349" spans="1:18" x14ac:dyDescent="0.35">
      <c r="A349" s="71" t="str">
        <f>IF(TRIM(G349)&lt;&gt;"",COUNTA(G$11:$G349)&amp;"","")</f>
        <v>194</v>
      </c>
      <c r="B349" s="273"/>
      <c r="C349" s="273"/>
      <c r="D349" s="34"/>
      <c r="E349" s="56" t="s">
        <v>444</v>
      </c>
      <c r="F349" s="73">
        <f>1*(5)</f>
        <v>5</v>
      </c>
      <c r="G349" s="74" t="s">
        <v>192</v>
      </c>
      <c r="H349" s="22">
        <v>0</v>
      </c>
      <c r="I349" s="51">
        <f t="shared" si="608"/>
        <v>5</v>
      </c>
      <c r="J349" s="23">
        <v>365</v>
      </c>
      <c r="K349" s="24">
        <f t="shared" si="609"/>
        <v>1825</v>
      </c>
      <c r="L349" s="25">
        <f t="shared" si="614"/>
        <v>95.227000000000004</v>
      </c>
      <c r="M349" s="26">
        <v>3.35</v>
      </c>
      <c r="N349" s="26">
        <f t="shared" si="610"/>
        <v>16.75</v>
      </c>
      <c r="O349" s="24">
        <f t="shared" si="611"/>
        <v>1595.05225</v>
      </c>
      <c r="P349" s="27">
        <f t="shared" si="612"/>
        <v>684.01044999999999</v>
      </c>
      <c r="Q349" s="24">
        <f t="shared" si="613"/>
        <v>3420.0522499999997</v>
      </c>
      <c r="R349" s="123"/>
    </row>
    <row r="350" spans="1:18" x14ac:dyDescent="0.35">
      <c r="A350" s="71" t="str">
        <f>IF(TRIM(G350)&lt;&gt;"",COUNTA(G$11:$G350)&amp;"","")</f>
        <v>195</v>
      </c>
      <c r="B350" s="273"/>
      <c r="C350" s="273"/>
      <c r="D350" s="34"/>
      <c r="E350" s="56" t="s">
        <v>445</v>
      </c>
      <c r="F350" s="73">
        <f>1*(5)</f>
        <v>5</v>
      </c>
      <c r="G350" s="74" t="s">
        <v>192</v>
      </c>
      <c r="H350" s="22">
        <v>0</v>
      </c>
      <c r="I350" s="51">
        <f t="shared" si="608"/>
        <v>5</v>
      </c>
      <c r="J350" s="23">
        <v>950</v>
      </c>
      <c r="K350" s="24">
        <f t="shared" si="609"/>
        <v>4750</v>
      </c>
      <c r="L350" s="25">
        <f t="shared" si="614"/>
        <v>95.227000000000004</v>
      </c>
      <c r="M350" s="26">
        <v>4</v>
      </c>
      <c r="N350" s="26">
        <f t="shared" si="610"/>
        <v>20</v>
      </c>
      <c r="O350" s="24">
        <f t="shared" si="611"/>
        <v>1904.54</v>
      </c>
      <c r="P350" s="27">
        <f t="shared" si="612"/>
        <v>1330.9079999999999</v>
      </c>
      <c r="Q350" s="24">
        <f t="shared" si="613"/>
        <v>6654.5399999999991</v>
      </c>
      <c r="R350" s="123"/>
    </row>
    <row r="351" spans="1:18" x14ac:dyDescent="0.35">
      <c r="A351" s="71" t="str">
        <f>IF(TRIM(G351)&lt;&gt;"",COUNTA(G$11:$G351)&amp;"","")</f>
        <v>196</v>
      </c>
      <c r="B351" s="273"/>
      <c r="C351" s="273"/>
      <c r="D351" s="34"/>
      <c r="E351" s="56" t="s">
        <v>446</v>
      </c>
      <c r="F351" s="73">
        <f>1*(5)</f>
        <v>5</v>
      </c>
      <c r="G351" s="74" t="s">
        <v>192</v>
      </c>
      <c r="H351" s="22">
        <v>0</v>
      </c>
      <c r="I351" s="51">
        <f t="shared" si="608"/>
        <v>5</v>
      </c>
      <c r="J351" s="23">
        <v>380</v>
      </c>
      <c r="K351" s="24">
        <f t="shared" si="609"/>
        <v>1900</v>
      </c>
      <c r="L351" s="25">
        <f t="shared" si="614"/>
        <v>95.227000000000004</v>
      </c>
      <c r="M351" s="26">
        <v>3.35</v>
      </c>
      <c r="N351" s="26">
        <f t="shared" si="610"/>
        <v>16.75</v>
      </c>
      <c r="O351" s="24">
        <f t="shared" si="611"/>
        <v>1595.05225</v>
      </c>
      <c r="P351" s="27">
        <f t="shared" si="612"/>
        <v>699.01044999999999</v>
      </c>
      <c r="Q351" s="24">
        <f t="shared" si="613"/>
        <v>3495.0522499999997</v>
      </c>
      <c r="R351" s="123"/>
    </row>
    <row r="352" spans="1:18" x14ac:dyDescent="0.35">
      <c r="A352" s="71" t="str">
        <f>IF(TRIM(G352)&lt;&gt;"",COUNTA(G$11:$G352)&amp;"","")</f>
        <v>197</v>
      </c>
      <c r="B352" s="273"/>
      <c r="C352" s="273"/>
      <c r="D352" s="34"/>
      <c r="E352" s="56" t="s">
        <v>447</v>
      </c>
      <c r="F352" s="73">
        <f>1*(5)</f>
        <v>5</v>
      </c>
      <c r="G352" s="74" t="s">
        <v>192</v>
      </c>
      <c r="H352" s="22">
        <v>0</v>
      </c>
      <c r="I352" s="51">
        <f t="shared" si="608"/>
        <v>5</v>
      </c>
      <c r="J352" s="23">
        <v>450</v>
      </c>
      <c r="K352" s="24">
        <f t="shared" si="609"/>
        <v>2250</v>
      </c>
      <c r="L352" s="25">
        <f t="shared" si="614"/>
        <v>95.227000000000004</v>
      </c>
      <c r="M352" s="26">
        <v>3.4</v>
      </c>
      <c r="N352" s="26">
        <f t="shared" si="610"/>
        <v>17</v>
      </c>
      <c r="O352" s="24">
        <f t="shared" si="611"/>
        <v>1618.8590000000002</v>
      </c>
      <c r="P352" s="27">
        <f t="shared" si="612"/>
        <v>773.7718000000001</v>
      </c>
      <c r="Q352" s="24">
        <f t="shared" si="613"/>
        <v>3868.8590000000004</v>
      </c>
      <c r="R352" s="123"/>
    </row>
    <row r="353" spans="1:18" x14ac:dyDescent="0.35">
      <c r="A353" s="71" t="str">
        <f>IF(TRIM(G353)&lt;&gt;"",COUNTA(G$11:$G353)&amp;"","")</f>
        <v>198</v>
      </c>
      <c r="B353" s="273"/>
      <c r="C353" s="273"/>
      <c r="D353" s="34"/>
      <c r="E353" s="56" t="s">
        <v>448</v>
      </c>
      <c r="F353" s="73">
        <f>1*(5)</f>
        <v>5</v>
      </c>
      <c r="G353" s="74" t="s">
        <v>192</v>
      </c>
      <c r="H353" s="22">
        <v>0</v>
      </c>
      <c r="I353" s="51">
        <f t="shared" si="608"/>
        <v>5</v>
      </c>
      <c r="J353" s="23">
        <v>320</v>
      </c>
      <c r="K353" s="24">
        <f t="shared" si="609"/>
        <v>1600</v>
      </c>
      <c r="L353" s="25">
        <f t="shared" si="614"/>
        <v>95.227000000000004</v>
      </c>
      <c r="M353" s="26">
        <v>3.3</v>
      </c>
      <c r="N353" s="26">
        <f t="shared" si="610"/>
        <v>16.5</v>
      </c>
      <c r="O353" s="24">
        <f t="shared" si="611"/>
        <v>1571.2455</v>
      </c>
      <c r="P353" s="27">
        <f t="shared" si="612"/>
        <v>634.2491</v>
      </c>
      <c r="Q353" s="24">
        <f t="shared" si="613"/>
        <v>3171.2455</v>
      </c>
      <c r="R353" s="123"/>
    </row>
    <row r="354" spans="1:18" x14ac:dyDescent="0.35">
      <c r="A354" s="71" t="str">
        <f>IF(TRIM(G354)&lt;&gt;"",COUNTA(G$11:$G354)&amp;"","")</f>
        <v/>
      </c>
      <c r="B354" s="273"/>
      <c r="C354" s="273"/>
      <c r="D354" s="34"/>
      <c r="E354" s="265" t="s">
        <v>449</v>
      </c>
      <c r="F354" s="73"/>
      <c r="G354" s="74"/>
      <c r="H354" s="22"/>
      <c r="I354" s="51"/>
      <c r="J354" s="23"/>
      <c r="K354" s="24"/>
      <c r="L354" s="25"/>
      <c r="M354" s="26"/>
      <c r="N354" s="26"/>
      <c r="O354" s="24"/>
      <c r="P354" s="27"/>
      <c r="Q354" s="24"/>
      <c r="R354" s="123"/>
    </row>
    <row r="355" spans="1:18" ht="130.5" x14ac:dyDescent="0.35">
      <c r="A355" s="71" t="str">
        <f>IF(TRIM(G355)&lt;&gt;"",COUNTA(G$11:$G355)&amp;"","")</f>
        <v>199</v>
      </c>
      <c r="B355" s="273"/>
      <c r="C355" s="273"/>
      <c r="D355" s="34"/>
      <c r="E355" s="56" t="s">
        <v>450</v>
      </c>
      <c r="F355" s="73">
        <v>1</v>
      </c>
      <c r="G355" s="74" t="s">
        <v>192</v>
      </c>
      <c r="H355" s="22">
        <v>0</v>
      </c>
      <c r="I355" s="51">
        <f t="shared" ref="I355" si="615">IF(F355=0,"",F355+(F355*H355))</f>
        <v>1</v>
      </c>
      <c r="J355" s="23">
        <v>1300</v>
      </c>
      <c r="K355" s="24">
        <f t="shared" ref="K355" si="616">IF(F355=0,"",J355*I355)</f>
        <v>1300</v>
      </c>
      <c r="L355" s="25">
        <f>$L$298</f>
        <v>95.227000000000004</v>
      </c>
      <c r="M355" s="26">
        <v>4.12</v>
      </c>
      <c r="N355" s="26">
        <f t="shared" ref="N355" si="617">IF(F355=0,"",M355*I355)</f>
        <v>4.12</v>
      </c>
      <c r="O355" s="24">
        <f t="shared" ref="O355" si="618">IF(F355=0,"",N355*L355)</f>
        <v>392.33524</v>
      </c>
      <c r="P355" s="27">
        <f t="shared" ref="P355" si="619">IF(F355=0,"",(K355+O355)/I355)</f>
        <v>1692.3352399999999</v>
      </c>
      <c r="Q355" s="24">
        <f t="shared" ref="Q355" si="620">IF(F355=0,"",(P355*I355))</f>
        <v>1692.3352399999999</v>
      </c>
      <c r="R355" s="123"/>
    </row>
    <row r="356" spans="1:18" x14ac:dyDescent="0.35">
      <c r="A356" s="71" t="str">
        <f>IF(TRIM(G356)&lt;&gt;"",COUNTA(G$11:$G356)&amp;"","")</f>
        <v/>
      </c>
      <c r="B356" s="273"/>
      <c r="C356" s="273"/>
      <c r="D356" s="34"/>
      <c r="E356" s="265" t="s">
        <v>451</v>
      </c>
      <c r="F356" s="73"/>
      <c r="G356" s="74"/>
      <c r="H356" s="22"/>
      <c r="I356" s="51"/>
      <c r="J356" s="23"/>
      <c r="K356" s="24"/>
      <c r="L356" s="25"/>
      <c r="M356" s="26"/>
      <c r="N356" s="26"/>
      <c r="O356" s="24"/>
      <c r="P356" s="27"/>
      <c r="Q356" s="24"/>
      <c r="R356" s="123"/>
    </row>
    <row r="357" spans="1:18" ht="58" x14ac:dyDescent="0.35">
      <c r="A357" s="71" t="str">
        <f>IF(TRIM(G357)&lt;&gt;"",COUNTA(G$11:$G357)&amp;"","")</f>
        <v>200</v>
      </c>
      <c r="B357" s="273"/>
      <c r="C357" s="273"/>
      <c r="D357" s="34"/>
      <c r="E357" s="56" t="s">
        <v>452</v>
      </c>
      <c r="F357" s="73">
        <v>5</v>
      </c>
      <c r="G357" s="74" t="s">
        <v>192</v>
      </c>
      <c r="H357" s="22">
        <v>0</v>
      </c>
      <c r="I357" s="51">
        <f t="shared" ref="I357:I358" si="621">IF(F357=0,"",F357+(F357*H357))</f>
        <v>5</v>
      </c>
      <c r="J357" s="23">
        <v>650</v>
      </c>
      <c r="K357" s="24">
        <f t="shared" ref="K357:K358" si="622">IF(F357=0,"",J357*I357)</f>
        <v>3250</v>
      </c>
      <c r="L357" s="25">
        <f t="shared" ref="L357:L358" si="623">$L$298</f>
        <v>95.227000000000004</v>
      </c>
      <c r="M357" s="26">
        <v>3.5</v>
      </c>
      <c r="N357" s="26">
        <f t="shared" ref="N357:N358" si="624">IF(F357=0,"",M357*I357)</f>
        <v>17.5</v>
      </c>
      <c r="O357" s="24">
        <f t="shared" ref="O357:O358" si="625">IF(F357=0,"",N357*L357)</f>
        <v>1666.4725000000001</v>
      </c>
      <c r="P357" s="27">
        <f t="shared" ref="P357:P358" si="626">IF(F357=0,"",(K357+O357)/I357)</f>
        <v>983.29449999999997</v>
      </c>
      <c r="Q357" s="24">
        <f t="shared" ref="Q357:Q358" si="627">IF(F357=0,"",(P357*I357))</f>
        <v>4916.4724999999999</v>
      </c>
      <c r="R357" s="123"/>
    </row>
    <row r="358" spans="1:18" ht="72.5" x14ac:dyDescent="0.35">
      <c r="A358" s="71" t="str">
        <f>IF(TRIM(G358)&lt;&gt;"",COUNTA(G$11:$G358)&amp;"","")</f>
        <v>201</v>
      </c>
      <c r="B358" s="273"/>
      <c r="C358" s="273"/>
      <c r="D358" s="34"/>
      <c r="E358" s="56" t="s">
        <v>453</v>
      </c>
      <c r="F358" s="73">
        <v>5</v>
      </c>
      <c r="G358" s="74" t="s">
        <v>192</v>
      </c>
      <c r="H358" s="22">
        <v>0</v>
      </c>
      <c r="I358" s="51">
        <f t="shared" si="621"/>
        <v>5</v>
      </c>
      <c r="J358" s="23">
        <v>225</v>
      </c>
      <c r="K358" s="24">
        <f t="shared" si="622"/>
        <v>1125</v>
      </c>
      <c r="L358" s="25">
        <f t="shared" si="623"/>
        <v>95.227000000000004</v>
      </c>
      <c r="M358" s="26">
        <v>2.5</v>
      </c>
      <c r="N358" s="26">
        <f t="shared" si="624"/>
        <v>12.5</v>
      </c>
      <c r="O358" s="24">
        <f t="shared" si="625"/>
        <v>1190.3375000000001</v>
      </c>
      <c r="P358" s="27">
        <f t="shared" si="626"/>
        <v>463.0675</v>
      </c>
      <c r="Q358" s="24">
        <f t="shared" si="627"/>
        <v>2315.3375000000001</v>
      </c>
      <c r="R358" s="123"/>
    </row>
    <row r="359" spans="1:18" x14ac:dyDescent="0.35">
      <c r="A359" s="71" t="str">
        <f>IF(TRIM(G359)&lt;&gt;"",COUNTA(G$11:$G359)&amp;"","")</f>
        <v/>
      </c>
      <c r="B359" s="273"/>
      <c r="C359" s="273"/>
      <c r="D359" s="34"/>
      <c r="E359" s="265" t="s">
        <v>390</v>
      </c>
      <c r="F359" s="73"/>
      <c r="G359" s="74"/>
      <c r="H359" s="22"/>
      <c r="I359" s="51"/>
      <c r="J359" s="23"/>
      <c r="K359" s="24"/>
      <c r="L359" s="25"/>
      <c r="M359" s="26"/>
      <c r="N359" s="26"/>
      <c r="O359" s="24"/>
      <c r="P359" s="27"/>
      <c r="Q359" s="24"/>
      <c r="R359" s="123"/>
    </row>
    <row r="360" spans="1:18" x14ac:dyDescent="0.35">
      <c r="A360" s="71" t="str">
        <f>IF(TRIM(G360)&lt;&gt;"",COUNTA(G$11:$G360)&amp;"","")</f>
        <v>202</v>
      </c>
      <c r="B360" s="273"/>
      <c r="C360" s="273"/>
      <c r="D360" s="34"/>
      <c r="E360" s="56" t="s">
        <v>454</v>
      </c>
      <c r="F360" s="73">
        <f>25+85</f>
        <v>110</v>
      </c>
      <c r="G360" s="74" t="s">
        <v>192</v>
      </c>
      <c r="H360" s="22">
        <v>0</v>
      </c>
      <c r="I360" s="51">
        <f t="shared" ref="I360:I361" si="628">IF(F360=0,"",F360+(F360*H360))</f>
        <v>110</v>
      </c>
      <c r="J360" s="23">
        <v>22</v>
      </c>
      <c r="K360" s="24">
        <f t="shared" ref="K360:K361" si="629">IF(F360=0,"",J360*I360)</f>
        <v>2420</v>
      </c>
      <c r="L360" s="25">
        <f t="shared" ref="L360:L361" si="630">$L$298</f>
        <v>95.227000000000004</v>
      </c>
      <c r="M360" s="26">
        <v>0.21199999999999999</v>
      </c>
      <c r="N360" s="26">
        <f t="shared" ref="N360:N361" si="631">IF(F360=0,"",M360*I360)</f>
        <v>23.32</v>
      </c>
      <c r="O360" s="24">
        <f t="shared" ref="O360:O361" si="632">IF(F360=0,"",N360*L360)</f>
        <v>2220.69364</v>
      </c>
      <c r="P360" s="27">
        <f t="shared" ref="P360:P361" si="633">IF(F360=0,"",(K360+O360)/I360)</f>
        <v>42.188123999999995</v>
      </c>
      <c r="Q360" s="24">
        <f t="shared" ref="Q360:Q361" si="634">IF(F360=0,"",(P360*I360))</f>
        <v>4640.6936399999995</v>
      </c>
      <c r="R360" s="123"/>
    </row>
    <row r="361" spans="1:18" x14ac:dyDescent="0.35">
      <c r="A361" s="71" t="str">
        <f>IF(TRIM(G361)&lt;&gt;"",COUNTA(G$11:$G361)&amp;"","")</f>
        <v>203</v>
      </c>
      <c r="B361" s="273"/>
      <c r="C361" s="273"/>
      <c r="D361" s="34"/>
      <c r="E361" s="56" t="s">
        <v>455</v>
      </c>
      <c r="F361" s="73">
        <v>5</v>
      </c>
      <c r="G361" s="74" t="s">
        <v>192</v>
      </c>
      <c r="H361" s="22">
        <v>0</v>
      </c>
      <c r="I361" s="51">
        <f t="shared" si="628"/>
        <v>5</v>
      </c>
      <c r="J361" s="23">
        <v>18</v>
      </c>
      <c r="K361" s="24">
        <f t="shared" si="629"/>
        <v>90</v>
      </c>
      <c r="L361" s="25">
        <f t="shared" si="630"/>
        <v>95.227000000000004</v>
      </c>
      <c r="M361" s="26">
        <v>0.21199999999999999</v>
      </c>
      <c r="N361" s="26">
        <f t="shared" si="631"/>
        <v>1.06</v>
      </c>
      <c r="O361" s="24">
        <f t="shared" si="632"/>
        <v>100.94062000000001</v>
      </c>
      <c r="P361" s="27">
        <f t="shared" si="633"/>
        <v>38.188124000000002</v>
      </c>
      <c r="Q361" s="24">
        <f t="shared" si="634"/>
        <v>190.94062000000002</v>
      </c>
      <c r="R361" s="123"/>
    </row>
    <row r="362" spans="1:18" x14ac:dyDescent="0.35">
      <c r="A362" s="71" t="str">
        <f>IF(TRIM(G362)&lt;&gt;"",COUNTA(G$11:$G362)&amp;"","")</f>
        <v/>
      </c>
      <c r="B362" s="273"/>
      <c r="C362" s="273"/>
      <c r="D362" s="34"/>
      <c r="E362" s="265" t="s">
        <v>456</v>
      </c>
      <c r="F362" s="73"/>
      <c r="G362" s="74"/>
      <c r="H362" s="22"/>
      <c r="I362" s="51"/>
      <c r="J362" s="23"/>
      <c r="K362" s="24"/>
      <c r="L362" s="25"/>
      <c r="M362" s="26"/>
      <c r="N362" s="26"/>
      <c r="O362" s="24"/>
      <c r="P362" s="27"/>
      <c r="Q362" s="24"/>
      <c r="R362" s="123"/>
    </row>
    <row r="363" spans="1:18" x14ac:dyDescent="0.35">
      <c r="A363" s="71" t="str">
        <f>IF(TRIM(G363)&lt;&gt;"",COUNTA(G$11:$G363)&amp;"","")</f>
        <v/>
      </c>
      <c r="B363" s="273"/>
      <c r="C363" s="273"/>
      <c r="D363" s="34"/>
      <c r="E363" s="259" t="s">
        <v>457</v>
      </c>
      <c r="F363" s="73"/>
      <c r="G363" s="74"/>
      <c r="H363" s="22"/>
      <c r="I363" s="51"/>
      <c r="J363" s="23"/>
      <c r="K363" s="24"/>
      <c r="L363" s="25"/>
      <c r="M363" s="26"/>
      <c r="N363" s="26"/>
      <c r="O363" s="24"/>
      <c r="P363" s="27"/>
      <c r="Q363" s="24"/>
      <c r="R363" s="123"/>
    </row>
    <row r="364" spans="1:18" x14ac:dyDescent="0.35">
      <c r="A364" s="71" t="str">
        <f>IF(TRIM(G364)&lt;&gt;"",COUNTA(G$11:$G364)&amp;"","")</f>
        <v>204</v>
      </c>
      <c r="B364" s="273"/>
      <c r="C364" s="273"/>
      <c r="D364" s="34"/>
      <c r="E364" s="56" t="s">
        <v>458</v>
      </c>
      <c r="F364" s="73">
        <v>14</v>
      </c>
      <c r="G364" s="74" t="s">
        <v>192</v>
      </c>
      <c r="H364" s="22">
        <v>0</v>
      </c>
      <c r="I364" s="51">
        <f t="shared" ref="I364:I367" si="635">IF(F364=0,"",F364+(F364*H364))</f>
        <v>14</v>
      </c>
      <c r="J364" s="23">
        <v>15</v>
      </c>
      <c r="K364" s="24">
        <f t="shared" ref="K364:K367" si="636">IF(F364=0,"",J364*I364)</f>
        <v>210</v>
      </c>
      <c r="L364" s="25">
        <f t="shared" ref="L364:L367" si="637">$L$298</f>
        <v>95.227000000000004</v>
      </c>
      <c r="M364" s="26">
        <v>0.12</v>
      </c>
      <c r="N364" s="26">
        <f t="shared" ref="N364:N367" si="638">IF(F364=0,"",M364*I364)</f>
        <v>1.68</v>
      </c>
      <c r="O364" s="24">
        <f t="shared" ref="O364:O367" si="639">IF(F364=0,"",N364*L364)</f>
        <v>159.98136</v>
      </c>
      <c r="P364" s="27">
        <f t="shared" ref="P364:P367" si="640">IF(F364=0,"",(K364+O364)/I364)</f>
        <v>26.427240000000001</v>
      </c>
      <c r="Q364" s="24">
        <f t="shared" ref="Q364:Q367" si="641">IF(F364=0,"",(P364*I364))</f>
        <v>369.98136</v>
      </c>
      <c r="R364" s="123"/>
    </row>
    <row r="365" spans="1:18" x14ac:dyDescent="0.35">
      <c r="A365" s="71" t="str">
        <f>IF(TRIM(G365)&lt;&gt;"",COUNTA(G$11:$G365)&amp;"","")</f>
        <v>205</v>
      </c>
      <c r="B365" s="273"/>
      <c r="C365" s="273"/>
      <c r="D365" s="34"/>
      <c r="E365" s="56" t="s">
        <v>459</v>
      </c>
      <c r="F365" s="73">
        <v>5</v>
      </c>
      <c r="G365" s="74" t="s">
        <v>192</v>
      </c>
      <c r="H365" s="22">
        <v>0</v>
      </c>
      <c r="I365" s="51">
        <f t="shared" si="635"/>
        <v>5</v>
      </c>
      <c r="J365" s="23">
        <v>10</v>
      </c>
      <c r="K365" s="24">
        <f t="shared" si="636"/>
        <v>50</v>
      </c>
      <c r="L365" s="25">
        <f t="shared" si="637"/>
        <v>95.227000000000004</v>
      </c>
      <c r="M365" s="26">
        <v>0.1</v>
      </c>
      <c r="N365" s="26">
        <f t="shared" si="638"/>
        <v>0.5</v>
      </c>
      <c r="O365" s="24">
        <f t="shared" si="639"/>
        <v>47.613500000000002</v>
      </c>
      <c r="P365" s="27">
        <f t="shared" si="640"/>
        <v>19.5227</v>
      </c>
      <c r="Q365" s="24">
        <f t="shared" si="641"/>
        <v>97.613500000000002</v>
      </c>
      <c r="R365" s="123"/>
    </row>
    <row r="366" spans="1:18" x14ac:dyDescent="0.35">
      <c r="A366" s="71" t="str">
        <f>IF(TRIM(G366)&lt;&gt;"",COUNTA(G$11:$G366)&amp;"","")</f>
        <v>206</v>
      </c>
      <c r="B366" s="273"/>
      <c r="C366" s="273"/>
      <c r="D366" s="34"/>
      <c r="E366" s="56" t="s">
        <v>638</v>
      </c>
      <c r="F366" s="73">
        <v>17</v>
      </c>
      <c r="G366" s="74" t="s">
        <v>192</v>
      </c>
      <c r="H366" s="22">
        <v>0</v>
      </c>
      <c r="I366" s="51">
        <f t="shared" si="635"/>
        <v>17</v>
      </c>
      <c r="J366" s="23">
        <v>25</v>
      </c>
      <c r="K366" s="24">
        <f t="shared" si="636"/>
        <v>425</v>
      </c>
      <c r="L366" s="25">
        <f t="shared" si="637"/>
        <v>95.227000000000004</v>
      </c>
      <c r="M366" s="26">
        <v>0.18</v>
      </c>
      <c r="N366" s="26">
        <f t="shared" si="638"/>
        <v>3.06</v>
      </c>
      <c r="O366" s="24">
        <f t="shared" si="639"/>
        <v>291.39462000000003</v>
      </c>
      <c r="P366" s="27">
        <f t="shared" si="640"/>
        <v>42.140860000000004</v>
      </c>
      <c r="Q366" s="24">
        <f t="shared" si="641"/>
        <v>716.39462000000003</v>
      </c>
      <c r="R366" s="123"/>
    </row>
    <row r="367" spans="1:18" x14ac:dyDescent="0.35">
      <c r="A367" s="71" t="str">
        <f>IF(TRIM(G367)&lt;&gt;"",COUNTA(G$11:$G367)&amp;"","")</f>
        <v>207</v>
      </c>
      <c r="B367" s="273"/>
      <c r="C367" s="273"/>
      <c r="D367" s="34"/>
      <c r="E367" s="56" t="s">
        <v>460</v>
      </c>
      <c r="F367" s="73">
        <v>6</v>
      </c>
      <c r="G367" s="74" t="s">
        <v>192</v>
      </c>
      <c r="H367" s="22">
        <v>0</v>
      </c>
      <c r="I367" s="51">
        <f t="shared" si="635"/>
        <v>6</v>
      </c>
      <c r="J367" s="23">
        <v>12</v>
      </c>
      <c r="K367" s="24">
        <f t="shared" si="636"/>
        <v>72</v>
      </c>
      <c r="L367" s="25">
        <f t="shared" si="637"/>
        <v>95.227000000000004</v>
      </c>
      <c r="M367" s="26">
        <v>0.14000000000000001</v>
      </c>
      <c r="N367" s="26">
        <f t="shared" si="638"/>
        <v>0.84000000000000008</v>
      </c>
      <c r="O367" s="24">
        <f t="shared" si="639"/>
        <v>79.990680000000012</v>
      </c>
      <c r="P367" s="27">
        <f t="shared" si="640"/>
        <v>25.331779999999998</v>
      </c>
      <c r="Q367" s="24">
        <f t="shared" si="641"/>
        <v>151.99068</v>
      </c>
      <c r="R367" s="123"/>
    </row>
    <row r="368" spans="1:18" x14ac:dyDescent="0.35">
      <c r="A368" s="71" t="str">
        <f>IF(TRIM(G368)&lt;&gt;"",COUNTA(G$11:$G368)&amp;"","")</f>
        <v/>
      </c>
      <c r="B368" s="273"/>
      <c r="C368" s="273"/>
      <c r="D368" s="34"/>
      <c r="E368" s="259" t="s">
        <v>461</v>
      </c>
      <c r="F368" s="73"/>
      <c r="G368" s="74"/>
      <c r="H368" s="22"/>
      <c r="I368" s="51"/>
      <c r="J368" s="23"/>
      <c r="K368" s="24"/>
      <c r="L368" s="25"/>
      <c r="M368" s="26"/>
      <c r="N368" s="26"/>
      <c r="O368" s="24"/>
      <c r="P368" s="27"/>
      <c r="Q368" s="24"/>
      <c r="R368" s="123"/>
    </row>
    <row r="369" spans="1:18" x14ac:dyDescent="0.35">
      <c r="A369" s="71" t="str">
        <f>IF(TRIM(G369)&lt;&gt;"",COUNTA(G$11:$G369)&amp;"","")</f>
        <v>208</v>
      </c>
      <c r="B369" s="273"/>
      <c r="C369" s="273"/>
      <c r="D369" s="34"/>
      <c r="E369" s="56" t="s">
        <v>459</v>
      </c>
      <c r="F369" s="73">
        <f>2*(5)+5</f>
        <v>15</v>
      </c>
      <c r="G369" s="74" t="s">
        <v>192</v>
      </c>
      <c r="H369" s="22">
        <v>0</v>
      </c>
      <c r="I369" s="51">
        <f t="shared" ref="I369" si="642">IF(F369=0,"",F369+(F369*H369))</f>
        <v>15</v>
      </c>
      <c r="J369" s="23">
        <v>9</v>
      </c>
      <c r="K369" s="24">
        <f t="shared" ref="K369" si="643">IF(F369=0,"",J369*I369)</f>
        <v>135</v>
      </c>
      <c r="L369" s="25">
        <f>$L$298</f>
        <v>95.227000000000004</v>
      </c>
      <c r="M369" s="26">
        <v>0.1</v>
      </c>
      <c r="N369" s="26">
        <f t="shared" ref="N369" si="644">IF(F369=0,"",M369*I369)</f>
        <v>1.5</v>
      </c>
      <c r="O369" s="24">
        <f t="shared" ref="O369" si="645">IF(F369=0,"",N369*L369)</f>
        <v>142.84050000000002</v>
      </c>
      <c r="P369" s="27">
        <f t="shared" ref="P369" si="646">IF(F369=0,"",(K369+O369)/I369)</f>
        <v>18.5227</v>
      </c>
      <c r="Q369" s="24">
        <f t="shared" ref="Q369" si="647">IF(F369=0,"",(P369*I369))</f>
        <v>277.84050000000002</v>
      </c>
      <c r="R369" s="123"/>
    </row>
    <row r="370" spans="1:18" x14ac:dyDescent="0.35">
      <c r="A370" s="71" t="str">
        <f>IF(TRIM(G370)&lt;&gt;"",COUNTA(G$11:$G370)&amp;"","")</f>
        <v/>
      </c>
      <c r="B370" s="273"/>
      <c r="C370" s="273"/>
      <c r="D370" s="34"/>
      <c r="E370" s="259" t="s">
        <v>462</v>
      </c>
      <c r="F370" s="73"/>
      <c r="G370" s="74"/>
      <c r="H370" s="22"/>
      <c r="I370" s="51"/>
      <c r="J370" s="23"/>
      <c r="K370" s="24"/>
      <c r="L370" s="25"/>
      <c r="M370" s="26"/>
      <c r="N370" s="26"/>
      <c r="O370" s="24"/>
      <c r="P370" s="27"/>
      <c r="Q370" s="24"/>
      <c r="R370" s="123"/>
    </row>
    <row r="371" spans="1:18" x14ac:dyDescent="0.35">
      <c r="A371" s="71" t="str">
        <f>IF(TRIM(G371)&lt;&gt;"",COUNTA(G$11:$G371)&amp;"","")</f>
        <v>209</v>
      </c>
      <c r="B371" s="273"/>
      <c r="C371" s="273"/>
      <c r="D371" s="34"/>
      <c r="E371" s="56" t="s">
        <v>463</v>
      </c>
      <c r="F371" s="73">
        <v>9</v>
      </c>
      <c r="G371" s="74" t="s">
        <v>192</v>
      </c>
      <c r="H371" s="22">
        <v>0</v>
      </c>
      <c r="I371" s="51">
        <f t="shared" ref="I371:I374" si="648">IF(F371=0,"",F371+(F371*H371))</f>
        <v>9</v>
      </c>
      <c r="J371" s="23">
        <v>4.5</v>
      </c>
      <c r="K371" s="24">
        <f t="shared" ref="K371:K374" si="649">IF(F371=0,"",J371*I371)</f>
        <v>40.5</v>
      </c>
      <c r="L371" s="25">
        <f t="shared" ref="L371:L374" si="650">$L$298</f>
        <v>95.227000000000004</v>
      </c>
      <c r="M371" s="26">
        <v>0.1</v>
      </c>
      <c r="N371" s="26">
        <f t="shared" ref="N371:N374" si="651">IF(F371=0,"",M371*I371)</f>
        <v>0.9</v>
      </c>
      <c r="O371" s="24">
        <f t="shared" ref="O371:O374" si="652">IF(F371=0,"",N371*L371)</f>
        <v>85.704300000000003</v>
      </c>
      <c r="P371" s="27">
        <f t="shared" ref="P371:P374" si="653">IF(F371=0,"",(K371+O371)/I371)</f>
        <v>14.0227</v>
      </c>
      <c r="Q371" s="24">
        <f t="shared" ref="Q371:Q374" si="654">IF(F371=0,"",(P371*I371))</f>
        <v>126.2043</v>
      </c>
      <c r="R371" s="123"/>
    </row>
    <row r="372" spans="1:18" x14ac:dyDescent="0.35">
      <c r="A372" s="71" t="str">
        <f>IF(TRIM(G372)&lt;&gt;"",COUNTA(G$11:$G372)&amp;"","")</f>
        <v>210</v>
      </c>
      <c r="B372" s="273"/>
      <c r="C372" s="273"/>
      <c r="D372" s="34"/>
      <c r="E372" s="56" t="s">
        <v>464</v>
      </c>
      <c r="F372" s="73">
        <v>5</v>
      </c>
      <c r="G372" s="74" t="s">
        <v>192</v>
      </c>
      <c r="H372" s="22">
        <v>0</v>
      </c>
      <c r="I372" s="51">
        <f t="shared" si="648"/>
        <v>5</v>
      </c>
      <c r="J372" s="23">
        <v>5.5</v>
      </c>
      <c r="K372" s="24">
        <f t="shared" si="649"/>
        <v>27.5</v>
      </c>
      <c r="L372" s="25">
        <f t="shared" si="650"/>
        <v>95.227000000000004</v>
      </c>
      <c r="M372" s="26">
        <v>0.1</v>
      </c>
      <c r="N372" s="26">
        <f t="shared" si="651"/>
        <v>0.5</v>
      </c>
      <c r="O372" s="24">
        <f t="shared" si="652"/>
        <v>47.613500000000002</v>
      </c>
      <c r="P372" s="27">
        <f t="shared" si="653"/>
        <v>15.0227</v>
      </c>
      <c r="Q372" s="24">
        <f t="shared" si="654"/>
        <v>75.113500000000002</v>
      </c>
      <c r="R372" s="123"/>
    </row>
    <row r="373" spans="1:18" x14ac:dyDescent="0.35">
      <c r="A373" s="71" t="str">
        <f>IF(TRIM(G373)&lt;&gt;"",COUNTA(G$11:$G373)&amp;"","")</f>
        <v>211</v>
      </c>
      <c r="B373" s="273"/>
      <c r="C373" s="273"/>
      <c r="D373" s="34"/>
      <c r="E373" s="56" t="s">
        <v>465</v>
      </c>
      <c r="F373" s="73">
        <f>1*(5)</f>
        <v>5</v>
      </c>
      <c r="G373" s="74" t="s">
        <v>192</v>
      </c>
      <c r="H373" s="22">
        <v>0</v>
      </c>
      <c r="I373" s="51">
        <f t="shared" si="648"/>
        <v>5</v>
      </c>
      <c r="J373" s="23">
        <v>9</v>
      </c>
      <c r="K373" s="24">
        <f t="shared" si="649"/>
        <v>45</v>
      </c>
      <c r="L373" s="25">
        <f t="shared" si="650"/>
        <v>95.227000000000004</v>
      </c>
      <c r="M373" s="26">
        <v>0.12</v>
      </c>
      <c r="N373" s="26">
        <f t="shared" si="651"/>
        <v>0.6</v>
      </c>
      <c r="O373" s="24">
        <f t="shared" si="652"/>
        <v>57.136200000000002</v>
      </c>
      <c r="P373" s="27">
        <f t="shared" si="653"/>
        <v>20.427240000000001</v>
      </c>
      <c r="Q373" s="24">
        <f t="shared" si="654"/>
        <v>102.1362</v>
      </c>
      <c r="R373" s="123"/>
    </row>
    <row r="374" spans="1:18" x14ac:dyDescent="0.35">
      <c r="A374" s="71" t="str">
        <f>IF(TRIM(G374)&lt;&gt;"",COUNTA(G$11:$G374)&amp;"","")</f>
        <v>212</v>
      </c>
      <c r="B374" s="273"/>
      <c r="C374" s="273"/>
      <c r="D374" s="34"/>
      <c r="E374" s="56" t="s">
        <v>460</v>
      </c>
      <c r="F374" s="73">
        <f>1*(5)</f>
        <v>5</v>
      </c>
      <c r="G374" s="74" t="s">
        <v>192</v>
      </c>
      <c r="H374" s="22">
        <v>0</v>
      </c>
      <c r="I374" s="51">
        <f t="shared" si="648"/>
        <v>5</v>
      </c>
      <c r="J374" s="23">
        <v>11</v>
      </c>
      <c r="K374" s="24">
        <f t="shared" si="649"/>
        <v>55</v>
      </c>
      <c r="L374" s="25">
        <f t="shared" si="650"/>
        <v>95.227000000000004</v>
      </c>
      <c r="M374" s="26">
        <v>0.14000000000000001</v>
      </c>
      <c r="N374" s="26">
        <f t="shared" si="651"/>
        <v>0.70000000000000007</v>
      </c>
      <c r="O374" s="24">
        <f t="shared" si="652"/>
        <v>66.658900000000003</v>
      </c>
      <c r="P374" s="27">
        <f t="shared" si="653"/>
        <v>24.331780000000002</v>
      </c>
      <c r="Q374" s="24">
        <f t="shared" si="654"/>
        <v>121.65890000000002</v>
      </c>
      <c r="R374" s="123"/>
    </row>
    <row r="375" spans="1:18" x14ac:dyDescent="0.35">
      <c r="A375" s="71" t="str">
        <f>IF(TRIM(G375)&lt;&gt;"",COUNTA(G$11:$G375)&amp;"","")</f>
        <v/>
      </c>
      <c r="B375" s="273"/>
      <c r="C375" s="273"/>
      <c r="D375" s="34"/>
      <c r="E375" s="259" t="s">
        <v>466</v>
      </c>
      <c r="F375" s="73"/>
      <c r="G375" s="74"/>
      <c r="H375" s="22"/>
      <c r="I375" s="51"/>
      <c r="J375" s="23"/>
      <c r="K375" s="24"/>
      <c r="L375" s="25"/>
      <c r="M375" s="26"/>
      <c r="N375" s="26"/>
      <c r="O375" s="24"/>
      <c r="P375" s="27"/>
      <c r="Q375" s="24"/>
      <c r="R375" s="123"/>
    </row>
    <row r="376" spans="1:18" x14ac:dyDescent="0.35">
      <c r="A376" s="71" t="str">
        <f>IF(TRIM(G376)&lt;&gt;"",COUNTA(G$11:$G376)&amp;"","")</f>
        <v>213</v>
      </c>
      <c r="B376" s="273"/>
      <c r="C376" s="273"/>
      <c r="D376" s="34"/>
      <c r="E376" s="56" t="s">
        <v>467</v>
      </c>
      <c r="F376" s="73">
        <v>62</v>
      </c>
      <c r="G376" s="74" t="s">
        <v>192</v>
      </c>
      <c r="H376" s="22">
        <v>0</v>
      </c>
      <c r="I376" s="51">
        <f t="shared" ref="I376:I383" si="655">IF(F376=0,"",F376+(F376*H376))</f>
        <v>62</v>
      </c>
      <c r="J376" s="23">
        <v>3</v>
      </c>
      <c r="K376" s="24">
        <f t="shared" ref="K376:K383" si="656">IF(F376=0,"",J376*I376)</f>
        <v>186</v>
      </c>
      <c r="L376" s="25">
        <f t="shared" ref="L376:L383" si="657">$L$298</f>
        <v>95.227000000000004</v>
      </c>
      <c r="M376" s="26">
        <v>0.08</v>
      </c>
      <c r="N376" s="26">
        <f t="shared" ref="N376:N383" si="658">IF(F376=0,"",M376*I376)</f>
        <v>4.96</v>
      </c>
      <c r="O376" s="24">
        <f t="shared" ref="O376:O383" si="659">IF(F376=0,"",N376*L376)</f>
        <v>472.32592</v>
      </c>
      <c r="P376" s="27">
        <f t="shared" ref="P376:P383" si="660">IF(F376=0,"",(K376+O376)/I376)</f>
        <v>10.61816</v>
      </c>
      <c r="Q376" s="24">
        <f t="shared" ref="Q376:Q383" si="661">IF(F376=0,"",(P376*I376))</f>
        <v>658.32592</v>
      </c>
      <c r="R376" s="123"/>
    </row>
    <row r="377" spans="1:18" x14ac:dyDescent="0.35">
      <c r="A377" s="71" t="str">
        <f>IF(TRIM(G377)&lt;&gt;"",COUNTA(G$11:$G377)&amp;"","")</f>
        <v>214</v>
      </c>
      <c r="B377" s="273"/>
      <c r="C377" s="273"/>
      <c r="D377" s="34"/>
      <c r="E377" s="56" t="s">
        <v>395</v>
      </c>
      <c r="F377" s="73">
        <v>5</v>
      </c>
      <c r="G377" s="74" t="s">
        <v>192</v>
      </c>
      <c r="H377" s="22">
        <v>0</v>
      </c>
      <c r="I377" s="51">
        <f t="shared" si="655"/>
        <v>5</v>
      </c>
      <c r="J377" s="23">
        <v>4</v>
      </c>
      <c r="K377" s="24">
        <f t="shared" si="656"/>
        <v>20</v>
      </c>
      <c r="L377" s="25">
        <f t="shared" si="657"/>
        <v>95.227000000000004</v>
      </c>
      <c r="M377" s="26">
        <v>0.1</v>
      </c>
      <c r="N377" s="26">
        <f t="shared" si="658"/>
        <v>0.5</v>
      </c>
      <c r="O377" s="24">
        <f t="shared" si="659"/>
        <v>47.613500000000002</v>
      </c>
      <c r="P377" s="27">
        <f t="shared" si="660"/>
        <v>13.5227</v>
      </c>
      <c r="Q377" s="24">
        <f t="shared" si="661"/>
        <v>67.613500000000002</v>
      </c>
      <c r="R377" s="123"/>
    </row>
    <row r="378" spans="1:18" x14ac:dyDescent="0.35">
      <c r="A378" s="71" t="str">
        <f>IF(TRIM(G378)&lt;&gt;"",COUNTA(G$11:$G378)&amp;"","")</f>
        <v>215</v>
      </c>
      <c r="B378" s="273"/>
      <c r="C378" s="273"/>
      <c r="D378" s="34"/>
      <c r="E378" s="56" t="s">
        <v>468</v>
      </c>
      <c r="F378" s="73">
        <v>9</v>
      </c>
      <c r="G378" s="74" t="s">
        <v>192</v>
      </c>
      <c r="H378" s="22">
        <v>0</v>
      </c>
      <c r="I378" s="51">
        <f t="shared" si="655"/>
        <v>9</v>
      </c>
      <c r="J378" s="23">
        <v>5</v>
      </c>
      <c r="K378" s="24">
        <f t="shared" si="656"/>
        <v>45</v>
      </c>
      <c r="L378" s="25">
        <f t="shared" si="657"/>
        <v>95.227000000000004</v>
      </c>
      <c r="M378" s="26">
        <v>0.12</v>
      </c>
      <c r="N378" s="26">
        <f t="shared" si="658"/>
        <v>1.08</v>
      </c>
      <c r="O378" s="24">
        <f t="shared" si="659"/>
        <v>102.84516000000001</v>
      </c>
      <c r="P378" s="27">
        <f t="shared" si="660"/>
        <v>16.427240000000001</v>
      </c>
      <c r="Q378" s="24">
        <f t="shared" si="661"/>
        <v>147.84516000000002</v>
      </c>
      <c r="R378" s="123"/>
    </row>
    <row r="379" spans="1:18" x14ac:dyDescent="0.35">
      <c r="A379" s="71" t="str">
        <f>IF(TRIM(G379)&lt;&gt;"",COUNTA(G$11:$G379)&amp;"","")</f>
        <v>216</v>
      </c>
      <c r="B379" s="273"/>
      <c r="C379" s="273"/>
      <c r="D379" s="34"/>
      <c r="E379" s="56" t="s">
        <v>469</v>
      </c>
      <c r="F379" s="73">
        <f>10*(5)</f>
        <v>50</v>
      </c>
      <c r="G379" s="74" t="s">
        <v>192</v>
      </c>
      <c r="H379" s="22">
        <v>0</v>
      </c>
      <c r="I379" s="51">
        <f t="shared" si="655"/>
        <v>50</v>
      </c>
      <c r="J379" s="23">
        <v>3.5</v>
      </c>
      <c r="K379" s="24">
        <f t="shared" si="656"/>
        <v>175</v>
      </c>
      <c r="L379" s="25">
        <f t="shared" si="657"/>
        <v>95.227000000000004</v>
      </c>
      <c r="M379" s="26">
        <v>0.1</v>
      </c>
      <c r="N379" s="26">
        <f t="shared" si="658"/>
        <v>5</v>
      </c>
      <c r="O379" s="24">
        <f t="shared" si="659"/>
        <v>476.13499999999999</v>
      </c>
      <c r="P379" s="27">
        <f t="shared" si="660"/>
        <v>13.0227</v>
      </c>
      <c r="Q379" s="24">
        <f t="shared" si="661"/>
        <v>651.13499999999999</v>
      </c>
      <c r="R379" s="123"/>
    </row>
    <row r="380" spans="1:18" x14ac:dyDescent="0.35">
      <c r="A380" s="71" t="str">
        <f>IF(TRIM(G380)&lt;&gt;"",COUNTA(G$11:$G380)&amp;"","")</f>
        <v>217</v>
      </c>
      <c r="B380" s="273"/>
      <c r="C380" s="273"/>
      <c r="D380" s="34"/>
      <c r="E380" s="56" t="s">
        <v>470</v>
      </c>
      <c r="F380" s="73">
        <v>1</v>
      </c>
      <c r="G380" s="74" t="s">
        <v>192</v>
      </c>
      <c r="H380" s="22">
        <v>0</v>
      </c>
      <c r="I380" s="51">
        <f t="shared" si="655"/>
        <v>1</v>
      </c>
      <c r="J380" s="23">
        <v>6.5</v>
      </c>
      <c r="K380" s="24">
        <f t="shared" si="656"/>
        <v>6.5</v>
      </c>
      <c r="L380" s="25">
        <f t="shared" si="657"/>
        <v>95.227000000000004</v>
      </c>
      <c r="M380" s="26">
        <v>0.14000000000000001</v>
      </c>
      <c r="N380" s="26">
        <f t="shared" si="658"/>
        <v>0.14000000000000001</v>
      </c>
      <c r="O380" s="24">
        <f t="shared" si="659"/>
        <v>13.331780000000002</v>
      </c>
      <c r="P380" s="27">
        <f t="shared" si="660"/>
        <v>19.831780000000002</v>
      </c>
      <c r="Q380" s="24">
        <f t="shared" si="661"/>
        <v>19.831780000000002</v>
      </c>
      <c r="R380" s="123"/>
    </row>
    <row r="381" spans="1:18" x14ac:dyDescent="0.35">
      <c r="A381" s="71" t="str">
        <f>IF(TRIM(G381)&lt;&gt;"",COUNTA(G$11:$G381)&amp;"","")</f>
        <v>218</v>
      </c>
      <c r="B381" s="273"/>
      <c r="C381" s="273"/>
      <c r="D381" s="34"/>
      <c r="E381" s="56" t="s">
        <v>471</v>
      </c>
      <c r="F381" s="73">
        <v>1</v>
      </c>
      <c r="G381" s="74" t="s">
        <v>192</v>
      </c>
      <c r="H381" s="22">
        <v>0</v>
      </c>
      <c r="I381" s="51">
        <f t="shared" si="655"/>
        <v>1</v>
      </c>
      <c r="J381" s="23">
        <v>5.5</v>
      </c>
      <c r="K381" s="24">
        <f t="shared" si="656"/>
        <v>5.5</v>
      </c>
      <c r="L381" s="25">
        <f t="shared" si="657"/>
        <v>95.227000000000004</v>
      </c>
      <c r="M381" s="26">
        <v>0.12</v>
      </c>
      <c r="N381" s="26">
        <f t="shared" si="658"/>
        <v>0.12</v>
      </c>
      <c r="O381" s="24">
        <f t="shared" si="659"/>
        <v>11.427239999999999</v>
      </c>
      <c r="P381" s="27">
        <f t="shared" si="660"/>
        <v>16.927239999999998</v>
      </c>
      <c r="Q381" s="24">
        <f t="shared" si="661"/>
        <v>16.927239999999998</v>
      </c>
      <c r="R381" s="123"/>
    </row>
    <row r="382" spans="1:18" x14ac:dyDescent="0.35">
      <c r="A382" s="71" t="str">
        <f>IF(TRIM(G382)&lt;&gt;"",COUNTA(G$11:$G382)&amp;"","")</f>
        <v>219</v>
      </c>
      <c r="B382" s="273"/>
      <c r="C382" s="273"/>
      <c r="D382" s="34"/>
      <c r="E382" s="56" t="s">
        <v>472</v>
      </c>
      <c r="F382" s="73">
        <v>1</v>
      </c>
      <c r="G382" s="74" t="s">
        <v>192</v>
      </c>
      <c r="H382" s="22">
        <v>0</v>
      </c>
      <c r="I382" s="51">
        <f t="shared" si="655"/>
        <v>1</v>
      </c>
      <c r="J382" s="23">
        <v>4</v>
      </c>
      <c r="K382" s="24">
        <f t="shared" si="656"/>
        <v>4</v>
      </c>
      <c r="L382" s="25">
        <f t="shared" si="657"/>
        <v>95.227000000000004</v>
      </c>
      <c r="M382" s="26">
        <v>0.1</v>
      </c>
      <c r="N382" s="26">
        <f t="shared" si="658"/>
        <v>0.1</v>
      </c>
      <c r="O382" s="24">
        <f t="shared" si="659"/>
        <v>9.5227000000000004</v>
      </c>
      <c r="P382" s="27">
        <f t="shared" si="660"/>
        <v>13.5227</v>
      </c>
      <c r="Q382" s="24">
        <f t="shared" si="661"/>
        <v>13.5227</v>
      </c>
      <c r="R382" s="123"/>
    </row>
    <row r="383" spans="1:18" x14ac:dyDescent="0.35">
      <c r="A383" s="71" t="str">
        <f>IF(TRIM(G383)&lt;&gt;"",COUNTA(G$11:$G383)&amp;"","")</f>
        <v>220</v>
      </c>
      <c r="B383" s="273"/>
      <c r="C383" s="273"/>
      <c r="D383" s="34"/>
      <c r="E383" s="56" t="s">
        <v>473</v>
      </c>
      <c r="F383" s="73">
        <f>8*(5)</f>
        <v>40</v>
      </c>
      <c r="G383" s="74" t="s">
        <v>192</v>
      </c>
      <c r="H383" s="22">
        <v>0</v>
      </c>
      <c r="I383" s="51">
        <f t="shared" si="655"/>
        <v>40</v>
      </c>
      <c r="J383" s="23">
        <v>3</v>
      </c>
      <c r="K383" s="24">
        <f t="shared" si="656"/>
        <v>120</v>
      </c>
      <c r="L383" s="25">
        <f t="shared" si="657"/>
        <v>95.227000000000004</v>
      </c>
      <c r="M383" s="26">
        <v>0.1</v>
      </c>
      <c r="N383" s="26">
        <f t="shared" si="658"/>
        <v>4</v>
      </c>
      <c r="O383" s="24">
        <f t="shared" si="659"/>
        <v>380.90800000000002</v>
      </c>
      <c r="P383" s="27">
        <f t="shared" si="660"/>
        <v>12.5227</v>
      </c>
      <c r="Q383" s="24">
        <f t="shared" si="661"/>
        <v>500.90800000000002</v>
      </c>
      <c r="R383" s="123"/>
    </row>
    <row r="384" spans="1:18" x14ac:dyDescent="0.35">
      <c r="A384" s="71" t="str">
        <f>IF(TRIM(G384)&lt;&gt;"",COUNTA(G$11:$G384)&amp;"","")</f>
        <v/>
      </c>
      <c r="B384" s="273"/>
      <c r="C384" s="273"/>
      <c r="D384" s="34"/>
      <c r="E384" s="259" t="s">
        <v>474</v>
      </c>
      <c r="F384" s="73"/>
      <c r="G384" s="74"/>
      <c r="H384" s="22"/>
      <c r="I384" s="51"/>
      <c r="J384" s="23"/>
      <c r="K384" s="24"/>
      <c r="L384" s="25"/>
      <c r="M384" s="26"/>
      <c r="N384" s="26"/>
      <c r="O384" s="24"/>
      <c r="P384" s="27"/>
      <c r="Q384" s="24"/>
      <c r="R384" s="123"/>
    </row>
    <row r="385" spans="1:18" x14ac:dyDescent="0.35">
      <c r="A385" s="71" t="str">
        <f>IF(TRIM(G385)&lt;&gt;"",COUNTA(G$11:$G385)&amp;"","")</f>
        <v>221</v>
      </c>
      <c r="B385" s="273"/>
      <c r="C385" s="273"/>
      <c r="D385" s="34"/>
      <c r="E385" s="56" t="s">
        <v>467</v>
      </c>
      <c r="F385" s="73">
        <v>43</v>
      </c>
      <c r="G385" s="74" t="s">
        <v>192</v>
      </c>
      <c r="H385" s="22">
        <v>0</v>
      </c>
      <c r="I385" s="51">
        <f t="shared" ref="I385:I387" si="662">IF(F385=0,"",F385+(F385*H385))</f>
        <v>43</v>
      </c>
      <c r="J385" s="23">
        <v>3.5</v>
      </c>
      <c r="K385" s="24">
        <f t="shared" ref="K385:K387" si="663">IF(F385=0,"",J385*I385)</f>
        <v>150.5</v>
      </c>
      <c r="L385" s="25">
        <f t="shared" ref="L385:L387" si="664">$L$298</f>
        <v>95.227000000000004</v>
      </c>
      <c r="M385" s="26">
        <v>0.1</v>
      </c>
      <c r="N385" s="26">
        <f t="shared" ref="N385:N387" si="665">IF(F385=0,"",M385*I385)</f>
        <v>4.3</v>
      </c>
      <c r="O385" s="24">
        <f t="shared" ref="O385:O387" si="666">IF(F385=0,"",N385*L385)</f>
        <v>409.47609999999997</v>
      </c>
      <c r="P385" s="27">
        <f t="shared" ref="P385:P387" si="667">IF(F385=0,"",(K385+O385)/I385)</f>
        <v>13.022699999999999</v>
      </c>
      <c r="Q385" s="24">
        <f t="shared" ref="Q385:Q387" si="668">IF(F385=0,"",(P385*I385))</f>
        <v>559.97609999999997</v>
      </c>
      <c r="R385" s="123"/>
    </row>
    <row r="386" spans="1:18" x14ac:dyDescent="0.35">
      <c r="A386" s="71" t="str">
        <f>IF(TRIM(G386)&lt;&gt;"",COUNTA(G$11:$G386)&amp;"","")</f>
        <v>222</v>
      </c>
      <c r="B386" s="273"/>
      <c r="C386" s="273"/>
      <c r="D386" s="34"/>
      <c r="E386" s="56" t="s">
        <v>469</v>
      </c>
      <c r="F386" s="73">
        <f>10*(5)</f>
        <v>50</v>
      </c>
      <c r="G386" s="74" t="s">
        <v>192</v>
      </c>
      <c r="H386" s="22">
        <v>0</v>
      </c>
      <c r="I386" s="51">
        <f t="shared" si="662"/>
        <v>50</v>
      </c>
      <c r="J386" s="23">
        <v>4.5</v>
      </c>
      <c r="K386" s="24">
        <f t="shared" si="663"/>
        <v>225</v>
      </c>
      <c r="L386" s="25">
        <f t="shared" si="664"/>
        <v>95.227000000000004</v>
      </c>
      <c r="M386" s="26">
        <v>0.12</v>
      </c>
      <c r="N386" s="26">
        <f t="shared" si="665"/>
        <v>6</v>
      </c>
      <c r="O386" s="24">
        <f t="shared" si="666"/>
        <v>571.36200000000008</v>
      </c>
      <c r="P386" s="27">
        <f t="shared" si="667"/>
        <v>15.927240000000001</v>
      </c>
      <c r="Q386" s="24">
        <f t="shared" si="668"/>
        <v>796.36200000000008</v>
      </c>
      <c r="R386" s="123"/>
    </row>
    <row r="387" spans="1:18" x14ac:dyDescent="0.35">
      <c r="A387" s="71" t="str">
        <f>IF(TRIM(G387)&lt;&gt;"",COUNTA(G$11:$G387)&amp;"","")</f>
        <v>223</v>
      </c>
      <c r="B387" s="273"/>
      <c r="C387" s="273"/>
      <c r="D387" s="34"/>
      <c r="E387" s="56" t="s">
        <v>473</v>
      </c>
      <c r="F387" s="73">
        <f>7*(5)</f>
        <v>35</v>
      </c>
      <c r="G387" s="74" t="s">
        <v>192</v>
      </c>
      <c r="H387" s="22">
        <v>0</v>
      </c>
      <c r="I387" s="51">
        <f t="shared" si="662"/>
        <v>35</v>
      </c>
      <c r="J387" s="23">
        <v>3.5</v>
      </c>
      <c r="K387" s="24">
        <f t="shared" si="663"/>
        <v>122.5</v>
      </c>
      <c r="L387" s="25">
        <f t="shared" si="664"/>
        <v>95.227000000000004</v>
      </c>
      <c r="M387" s="26">
        <v>0.1</v>
      </c>
      <c r="N387" s="26">
        <f t="shared" si="665"/>
        <v>3.5</v>
      </c>
      <c r="O387" s="24">
        <f t="shared" si="666"/>
        <v>333.29450000000003</v>
      </c>
      <c r="P387" s="27">
        <f t="shared" si="667"/>
        <v>13.0227</v>
      </c>
      <c r="Q387" s="24">
        <f t="shared" si="668"/>
        <v>455.79450000000003</v>
      </c>
      <c r="R387" s="123"/>
    </row>
    <row r="388" spans="1:18" x14ac:dyDescent="0.35">
      <c r="A388" s="71" t="str">
        <f>IF(TRIM(G388)&lt;&gt;"",COUNTA(G$11:$G388)&amp;"","")</f>
        <v/>
      </c>
      <c r="B388" s="273"/>
      <c r="C388" s="273"/>
      <c r="D388" s="34"/>
      <c r="E388" s="259" t="s">
        <v>475</v>
      </c>
      <c r="F388" s="73"/>
      <c r="G388" s="74"/>
      <c r="H388" s="22"/>
      <c r="I388" s="51"/>
      <c r="J388" s="23"/>
      <c r="K388" s="24"/>
      <c r="L388" s="25"/>
      <c r="M388" s="26"/>
      <c r="N388" s="26"/>
      <c r="O388" s="24"/>
      <c r="P388" s="27"/>
      <c r="Q388" s="24"/>
      <c r="R388" s="123"/>
    </row>
    <row r="389" spans="1:18" x14ac:dyDescent="0.35">
      <c r="A389" s="71" t="str">
        <f>IF(TRIM(G389)&lt;&gt;"",COUNTA(G$11:$G389)&amp;"","")</f>
        <v>224</v>
      </c>
      <c r="B389" s="273"/>
      <c r="C389" s="273"/>
      <c r="D389" s="34"/>
      <c r="E389" s="56" t="s">
        <v>476</v>
      </c>
      <c r="F389" s="73">
        <v>63</v>
      </c>
      <c r="G389" s="74" t="s">
        <v>192</v>
      </c>
      <c r="H389" s="22">
        <v>0</v>
      </c>
      <c r="I389" s="51">
        <f t="shared" ref="I389:I390" si="669">IF(F389=0,"",F389+(F389*H389))</f>
        <v>63</v>
      </c>
      <c r="J389" s="23">
        <v>2.5</v>
      </c>
      <c r="K389" s="24">
        <f t="shared" ref="K389:K390" si="670">IF(F389=0,"",J389*I389)</f>
        <v>157.5</v>
      </c>
      <c r="L389" s="25">
        <f t="shared" ref="L389:L390" si="671">$L$298</f>
        <v>95.227000000000004</v>
      </c>
      <c r="M389" s="26">
        <v>0.08</v>
      </c>
      <c r="N389" s="26">
        <f t="shared" ref="N389:N390" si="672">IF(F389=0,"",M389*I389)</f>
        <v>5.04</v>
      </c>
      <c r="O389" s="24">
        <f t="shared" ref="O389:O390" si="673">IF(F389=0,"",N389*L389)</f>
        <v>479.94408000000004</v>
      </c>
      <c r="P389" s="27">
        <f t="shared" ref="P389:P397" si="674">IF(F389=0,"",(K389+O389)/I389)</f>
        <v>10.11816</v>
      </c>
      <c r="Q389" s="24">
        <f t="shared" ref="Q389:Q397" si="675">IF(F389=0,"",(P389*I389))</f>
        <v>637.44407999999999</v>
      </c>
      <c r="R389" s="123"/>
    </row>
    <row r="390" spans="1:18" x14ac:dyDescent="0.35">
      <c r="A390" s="71" t="str">
        <f>IF(TRIM(G390)&lt;&gt;"",COUNTA(G$11:$G390)&amp;"","")</f>
        <v>225</v>
      </c>
      <c r="B390" s="273"/>
      <c r="C390" s="273"/>
      <c r="D390" s="34"/>
      <c r="E390" s="56" t="s">
        <v>477</v>
      </c>
      <c r="F390" s="73">
        <f>3*(5)</f>
        <v>15</v>
      </c>
      <c r="G390" s="74" t="s">
        <v>192</v>
      </c>
      <c r="H390" s="22">
        <v>0</v>
      </c>
      <c r="I390" s="51">
        <f t="shared" si="669"/>
        <v>15</v>
      </c>
      <c r="J390" s="23">
        <v>3</v>
      </c>
      <c r="K390" s="24">
        <f t="shared" si="670"/>
        <v>45</v>
      </c>
      <c r="L390" s="25">
        <f t="shared" si="671"/>
        <v>95.227000000000004</v>
      </c>
      <c r="M390" s="26">
        <v>0.1</v>
      </c>
      <c r="N390" s="26">
        <f t="shared" si="672"/>
        <v>1.5</v>
      </c>
      <c r="O390" s="24">
        <f t="shared" si="673"/>
        <v>142.84050000000002</v>
      </c>
      <c r="P390" s="27">
        <f t="shared" si="674"/>
        <v>12.522700000000002</v>
      </c>
      <c r="Q390" s="24">
        <f t="shared" si="675"/>
        <v>187.84050000000002</v>
      </c>
      <c r="R390" s="123"/>
    </row>
    <row r="391" spans="1:18" ht="19.25" customHeight="1" x14ac:dyDescent="0.35">
      <c r="A391" s="71" t="str">
        <f>IF(TRIM(G391)&lt;&gt;"",COUNTA(G$11:$G391)&amp;"","")</f>
        <v/>
      </c>
      <c r="B391" s="273"/>
      <c r="C391" s="273"/>
      <c r="D391" s="34"/>
      <c r="E391" s="247" t="s">
        <v>400</v>
      </c>
      <c r="F391" s="246"/>
      <c r="G391" s="74"/>
      <c r="H391" s="22" t="str">
        <f t="shared" ref="H391" si="676">IF(F391=0,"",0)</f>
        <v/>
      </c>
      <c r="I391" s="51" t="str">
        <f t="shared" si="517"/>
        <v/>
      </c>
      <c r="J391" s="23"/>
      <c r="K391" s="24" t="str">
        <f t="shared" si="519"/>
        <v/>
      </c>
      <c r="L391" s="25"/>
      <c r="M391" s="26"/>
      <c r="N391" s="26" t="str">
        <f t="shared" si="521"/>
        <v/>
      </c>
      <c r="O391" s="24" t="str">
        <f t="shared" si="522"/>
        <v/>
      </c>
      <c r="P391" s="27" t="str">
        <f t="shared" si="674"/>
        <v/>
      </c>
      <c r="Q391" s="24" t="str">
        <f t="shared" si="675"/>
        <v/>
      </c>
      <c r="R391" s="123"/>
    </row>
    <row r="392" spans="1:18" x14ac:dyDescent="0.35">
      <c r="A392" s="71" t="str">
        <f>IF(TRIM(G392)&lt;&gt;"",COUNTA(G$11:$G392)&amp;"","")</f>
        <v>226</v>
      </c>
      <c r="B392" s="273"/>
      <c r="C392" s="273"/>
      <c r="D392" s="34"/>
      <c r="E392" s="264" t="s">
        <v>401</v>
      </c>
      <c r="F392" s="73">
        <f>1750/6</f>
        <v>291.66666666666669</v>
      </c>
      <c r="G392" s="74" t="s">
        <v>192</v>
      </c>
      <c r="H392" s="22">
        <v>0</v>
      </c>
      <c r="I392" s="51">
        <f t="shared" si="517"/>
        <v>291.66666666666669</v>
      </c>
      <c r="J392" s="23">
        <v>2.75</v>
      </c>
      <c r="K392" s="24">
        <f t="shared" si="519"/>
        <v>802.08333333333337</v>
      </c>
      <c r="L392" s="25">
        <f t="shared" ref="L392:L394" si="677">$L$298</f>
        <v>95.227000000000004</v>
      </c>
      <c r="M392" s="26">
        <v>0.05</v>
      </c>
      <c r="N392" s="26">
        <f t="shared" si="521"/>
        <v>14.583333333333336</v>
      </c>
      <c r="O392" s="24">
        <f t="shared" si="522"/>
        <v>1388.7270833333337</v>
      </c>
      <c r="P392" s="27">
        <f t="shared" ref="P392:P394" si="678">IF(F392=0,"",(K392+O392)/I392)</f>
        <v>7.5113500000000011</v>
      </c>
      <c r="Q392" s="24">
        <f t="shared" ref="Q392:Q394" si="679">IF(F392=0,"",(P392*I392))</f>
        <v>2190.8104166666672</v>
      </c>
      <c r="R392" s="123"/>
    </row>
    <row r="393" spans="1:18" x14ac:dyDescent="0.35">
      <c r="A393" s="71" t="str">
        <f>IF(TRIM(G393)&lt;&gt;"",COUNTA(G$11:$G393)&amp;"","")</f>
        <v>227</v>
      </c>
      <c r="B393" s="273"/>
      <c r="C393" s="273"/>
      <c r="D393" s="34"/>
      <c r="E393" s="264" t="s">
        <v>478</v>
      </c>
      <c r="F393" s="73">
        <f>320/6</f>
        <v>53.333333333333336</v>
      </c>
      <c r="G393" s="74" t="s">
        <v>192</v>
      </c>
      <c r="H393" s="22">
        <v>0</v>
      </c>
      <c r="I393" s="51">
        <f t="shared" si="517"/>
        <v>53.333333333333336</v>
      </c>
      <c r="J393" s="23">
        <v>3.5</v>
      </c>
      <c r="K393" s="24">
        <f t="shared" si="519"/>
        <v>186.66666666666669</v>
      </c>
      <c r="L393" s="25">
        <f t="shared" si="677"/>
        <v>95.227000000000004</v>
      </c>
      <c r="M393" s="26">
        <v>7.0000000000000007E-2</v>
      </c>
      <c r="N393" s="26">
        <f t="shared" si="521"/>
        <v>3.7333333333333338</v>
      </c>
      <c r="O393" s="24">
        <f t="shared" si="522"/>
        <v>355.5141333333334</v>
      </c>
      <c r="P393" s="27">
        <f t="shared" si="678"/>
        <v>10.165890000000001</v>
      </c>
      <c r="Q393" s="24">
        <f t="shared" si="679"/>
        <v>542.18080000000009</v>
      </c>
      <c r="R393" s="123"/>
    </row>
    <row r="394" spans="1:18" x14ac:dyDescent="0.35">
      <c r="A394" s="71" t="str">
        <f>IF(TRIM(G394)&lt;&gt;"",COUNTA(G$11:$G394)&amp;"","")</f>
        <v>228</v>
      </c>
      <c r="B394" s="273"/>
      <c r="C394" s="273"/>
      <c r="D394" s="34"/>
      <c r="E394" s="264" t="s">
        <v>402</v>
      </c>
      <c r="F394" s="73">
        <f>F392+F393</f>
        <v>345</v>
      </c>
      <c r="G394" s="74" t="s">
        <v>192</v>
      </c>
      <c r="H394" s="22">
        <v>0</v>
      </c>
      <c r="I394" s="51">
        <f t="shared" si="517"/>
        <v>345</v>
      </c>
      <c r="J394" s="23">
        <v>1.1000000000000001</v>
      </c>
      <c r="K394" s="24">
        <f t="shared" si="519"/>
        <v>379.50000000000006</v>
      </c>
      <c r="L394" s="25">
        <f t="shared" si="677"/>
        <v>95.227000000000004</v>
      </c>
      <c r="M394" s="26">
        <v>0.03</v>
      </c>
      <c r="N394" s="26">
        <f t="shared" si="521"/>
        <v>10.35</v>
      </c>
      <c r="O394" s="24">
        <f t="shared" si="522"/>
        <v>985.59945000000005</v>
      </c>
      <c r="P394" s="27">
        <f t="shared" si="678"/>
        <v>3.9568100000000004</v>
      </c>
      <c r="Q394" s="24">
        <f t="shared" si="679"/>
        <v>1365.0994500000002</v>
      </c>
      <c r="R394" s="123"/>
    </row>
    <row r="395" spans="1:18" ht="19.25" customHeight="1" x14ac:dyDescent="0.35">
      <c r="A395" s="71" t="str">
        <f>IF(TRIM(G395)&lt;&gt;"",COUNTA(G$11:$G395)&amp;"","")</f>
        <v/>
      </c>
      <c r="B395" s="273"/>
      <c r="C395" s="273"/>
      <c r="D395" s="34"/>
      <c r="E395" s="247" t="s">
        <v>479</v>
      </c>
      <c r="F395" s="246"/>
      <c r="G395" s="74"/>
      <c r="H395" s="22"/>
      <c r="I395" s="51" t="str">
        <f t="shared" ref="I395:I397" si="680">IF(F395=0,"",F395+(F395*H395))</f>
        <v/>
      </c>
      <c r="J395" s="23" t="str">
        <f t="shared" ref="J395:J397" si="681">IF(F395=0,"",0)</f>
        <v/>
      </c>
      <c r="K395" s="24" t="str">
        <f t="shared" ref="K395:K397" si="682">IF(F395=0,"",J395*I395)</f>
        <v/>
      </c>
      <c r="L395" s="25"/>
      <c r="M395" s="26" t="str">
        <f t="shared" ref="M395" si="683">IF(F395=0,"",0)</f>
        <v/>
      </c>
      <c r="N395" s="26" t="str">
        <f t="shared" ref="N395:N397" si="684">IF(F395=0,"",M395*I395)</f>
        <v/>
      </c>
      <c r="O395" s="24" t="str">
        <f t="shared" ref="O395:O397" si="685">IF(F395=0,"",N395*L395)</f>
        <v/>
      </c>
      <c r="P395" s="27" t="str">
        <f t="shared" si="674"/>
        <v/>
      </c>
      <c r="Q395" s="24" t="str">
        <f t="shared" si="675"/>
        <v/>
      </c>
      <c r="R395" s="123"/>
    </row>
    <row r="396" spans="1:18" x14ac:dyDescent="0.35">
      <c r="A396" s="71" t="str">
        <f>IF(TRIM(G396)&lt;&gt;"",COUNTA(G$11:$G396)&amp;"","")</f>
        <v>229</v>
      </c>
      <c r="B396" s="273"/>
      <c r="C396" s="273"/>
      <c r="D396" s="34"/>
      <c r="E396" s="56" t="s">
        <v>480</v>
      </c>
      <c r="F396" s="73">
        <f>165*2*3/27</f>
        <v>36.666666666666664</v>
      </c>
      <c r="G396" s="74" t="s">
        <v>157</v>
      </c>
      <c r="H396" s="22">
        <v>0</v>
      </c>
      <c r="I396" s="51">
        <f t="shared" si="680"/>
        <v>36.666666666666664</v>
      </c>
      <c r="J396" s="23">
        <f t="shared" si="681"/>
        <v>0</v>
      </c>
      <c r="K396" s="24">
        <f t="shared" si="682"/>
        <v>0</v>
      </c>
      <c r="L396" s="25">
        <f t="shared" ref="L396:L397" si="686">$L$298</f>
        <v>95.227000000000004</v>
      </c>
      <c r="M396" s="26">
        <v>0.38500000000000001</v>
      </c>
      <c r="N396" s="26">
        <f t="shared" si="684"/>
        <v>14.116666666666665</v>
      </c>
      <c r="O396" s="24">
        <f t="shared" si="685"/>
        <v>1344.2878166666667</v>
      </c>
      <c r="P396" s="27">
        <f t="shared" si="674"/>
        <v>36.662395000000004</v>
      </c>
      <c r="Q396" s="24">
        <f t="shared" si="675"/>
        <v>1344.2878166666667</v>
      </c>
      <c r="R396" s="123"/>
    </row>
    <row r="397" spans="1:18" x14ac:dyDescent="0.35">
      <c r="A397" s="71" t="str">
        <f>IF(TRIM(G397)&lt;&gt;"",COUNTA(G$11:$G397)&amp;"","")</f>
        <v>230</v>
      </c>
      <c r="B397" s="274"/>
      <c r="C397" s="274"/>
      <c r="D397" s="34"/>
      <c r="E397" s="56" t="s">
        <v>159</v>
      </c>
      <c r="F397" s="73">
        <f>F396-(((3.14/4)*(0.1089)*165)/27)</f>
        <v>36.144249166666661</v>
      </c>
      <c r="G397" s="74" t="s">
        <v>157</v>
      </c>
      <c r="H397" s="22">
        <v>0</v>
      </c>
      <c r="I397" s="51">
        <f t="shared" si="680"/>
        <v>36.144249166666661</v>
      </c>
      <c r="J397" s="23">
        <f t="shared" si="681"/>
        <v>0</v>
      </c>
      <c r="K397" s="24">
        <f t="shared" si="682"/>
        <v>0</v>
      </c>
      <c r="L397" s="25">
        <f t="shared" si="686"/>
        <v>95.227000000000004</v>
      </c>
      <c r="M397" s="26">
        <v>0.28499999999999998</v>
      </c>
      <c r="N397" s="26">
        <f t="shared" si="684"/>
        <v>10.301111012499998</v>
      </c>
      <c r="O397" s="24">
        <f t="shared" si="685"/>
        <v>980.9438983873373</v>
      </c>
      <c r="P397" s="27">
        <f t="shared" si="674"/>
        <v>27.139695</v>
      </c>
      <c r="Q397" s="24">
        <f t="shared" si="675"/>
        <v>980.9438983873373</v>
      </c>
      <c r="R397" s="123"/>
    </row>
    <row r="398" spans="1:18" ht="15" thickBot="1" x14ac:dyDescent="0.4">
      <c r="A398" s="71" t="str">
        <f>IF(TRIM(G398)&lt;&gt;"",COUNTA(G$11:$G398)&amp;"","")</f>
        <v/>
      </c>
      <c r="B398" s="75"/>
      <c r="C398" s="75"/>
      <c r="D398" s="34"/>
      <c r="E398" s="76"/>
      <c r="F398" s="73"/>
      <c r="G398" s="74"/>
      <c r="H398" s="22" t="str">
        <f t="shared" ref="H398" si="687">IF(F398=0,"",0)</f>
        <v/>
      </c>
      <c r="I398" s="51" t="str">
        <f t="shared" ref="I398" si="688">IF(F398=0,"",F398+(F398*H398))</f>
        <v/>
      </c>
      <c r="J398" s="23" t="str">
        <f t="shared" ref="J398" si="689">IF(F398=0,"",0)</f>
        <v/>
      </c>
      <c r="K398" s="24" t="str">
        <f t="shared" ref="K398" si="690">IF(F398=0,"",J398*I398)</f>
        <v/>
      </c>
      <c r="L398" s="25" t="str">
        <f t="shared" ref="L398" si="691">IF(F398=0,"",L$298)</f>
        <v/>
      </c>
      <c r="M398" s="26" t="str">
        <f t="shared" ref="M398" si="692">IF(F398=0,"",0)</f>
        <v/>
      </c>
      <c r="N398" s="26" t="str">
        <f t="shared" ref="N398" si="693">IF(F398=0,"",M398*I398)</f>
        <v/>
      </c>
      <c r="O398" s="24" t="str">
        <f t="shared" ref="O398" si="694">IF(F398=0,"",N398*L398)</f>
        <v/>
      </c>
      <c r="P398" s="27" t="str">
        <f t="shared" ref="P398" si="695">IF(F398=0,"",(K398+O398)/I398)</f>
        <v/>
      </c>
      <c r="Q398" s="24" t="str">
        <f t="shared" ref="Q398" si="696">IF(F398=0,"",(P398*I398))</f>
        <v/>
      </c>
      <c r="R398" s="123"/>
    </row>
    <row r="399" spans="1:18" s="2" customFormat="1" ht="16" thickBot="1" x14ac:dyDescent="0.4">
      <c r="A399" s="84" t="str">
        <f>IF(TRIM(G399)&lt;&gt;"",COUNTA(G$11:$G399)&amp;"","")</f>
        <v/>
      </c>
      <c r="B399" s="36"/>
      <c r="C399" s="36"/>
      <c r="D399" s="37"/>
      <c r="E399" s="19"/>
      <c r="F399" s="90"/>
      <c r="G399" s="91"/>
      <c r="H399" s="85" t="s">
        <v>12</v>
      </c>
      <c r="I399" s="86"/>
      <c r="J399" s="87">
        <f>SUM(K$299:K$398)</f>
        <v>64570.116529999999</v>
      </c>
      <c r="K399" s="311" t="s">
        <v>13</v>
      </c>
      <c r="L399" s="312"/>
      <c r="M399" s="88">
        <f>SUM(O$299:O$398)</f>
        <v>87784.949132879658</v>
      </c>
      <c r="N399" s="311" t="s">
        <v>42</v>
      </c>
      <c r="O399" s="312"/>
      <c r="P399" s="89">
        <f>SUM(N$299:N$398)</f>
        <v>921.84936134583324</v>
      </c>
      <c r="Q399" s="191" t="s">
        <v>187</v>
      </c>
      <c r="R399" s="88">
        <f>SUM(Q$299:Q$398)</f>
        <v>152355.06566287976</v>
      </c>
    </row>
    <row r="400" spans="1:18" ht="25" customHeight="1" thickBot="1" x14ac:dyDescent="0.4">
      <c r="A400" s="181" t="str">
        <f>IF(TRIM(G400)&lt;&gt;"",COUNTA(G$11:$G400)&amp;"","")</f>
        <v/>
      </c>
      <c r="B400" s="182"/>
      <c r="C400" s="183" t="s">
        <v>120</v>
      </c>
      <c r="D400" s="193" t="s">
        <v>136</v>
      </c>
      <c r="E400" s="193" t="s">
        <v>168</v>
      </c>
      <c r="F400" s="194"/>
      <c r="G400" s="184"/>
      <c r="H400" s="182"/>
      <c r="I400" s="184"/>
      <c r="J400" s="182"/>
      <c r="K400" s="182"/>
      <c r="L400" s="202">
        <f>(55.45+36.63)*1.1</f>
        <v>101.28800000000003</v>
      </c>
      <c r="M400" s="182"/>
      <c r="N400" s="182"/>
      <c r="O400" s="182"/>
      <c r="P400" s="182"/>
      <c r="Q400" s="182"/>
      <c r="R400" s="185"/>
    </row>
    <row r="401" spans="1:18" ht="19.25" customHeight="1" x14ac:dyDescent="0.35">
      <c r="A401" s="71" t="str">
        <f>IF(TRIM(G401)&lt;&gt;"",COUNTA(G$11:$G401)&amp;"","")</f>
        <v/>
      </c>
      <c r="B401" s="72"/>
      <c r="C401" s="72"/>
      <c r="D401" s="34"/>
      <c r="E401" s="247" t="s">
        <v>196</v>
      </c>
      <c r="F401" s="246"/>
      <c r="G401" s="74"/>
      <c r="H401" s="22" t="str">
        <f t="shared" ref="H401:H442" si="697">IF(F401=0,"",0)</f>
        <v/>
      </c>
      <c r="I401" s="51" t="str">
        <f t="shared" ref="I401:I442" si="698">IF(F401=0,"",F401+(F401*H401))</f>
        <v/>
      </c>
      <c r="J401" s="23" t="str">
        <f t="shared" ref="J401:J442" si="699">IF(F401=0,"",0)</f>
        <v/>
      </c>
      <c r="K401" s="24" t="str">
        <f t="shared" ref="K401:K442" si="700">IF(F401=0,"",J401*I401)</f>
        <v/>
      </c>
      <c r="L401" s="25" t="str">
        <f>IF(F401=0,"",L$400)</f>
        <v/>
      </c>
      <c r="M401" s="26" t="str">
        <f t="shared" ref="M401:M442" si="701">IF(F401=0,"",0)</f>
        <v/>
      </c>
      <c r="N401" s="26" t="str">
        <f t="shared" ref="N401:N442" si="702">IF(F401=0,"",M401*I401)</f>
        <v/>
      </c>
      <c r="O401" s="24" t="str">
        <f t="shared" ref="O401:O442" si="703">IF(F401=0,"",N401*L401)</f>
        <v/>
      </c>
      <c r="P401" s="27" t="str">
        <f t="shared" ref="P401:P409" si="704">IF(F401=0,"",(K401+O401)/I401)</f>
        <v/>
      </c>
      <c r="Q401" s="24" t="str">
        <f t="shared" ref="Q401:Q409" si="705">IF(F401=0,"",(P401*I401))</f>
        <v/>
      </c>
      <c r="R401" s="123"/>
    </row>
    <row r="402" spans="1:18" x14ac:dyDescent="0.35">
      <c r="A402" s="71" t="str">
        <f>IF(TRIM(G402)&lt;&gt;"",COUNTA(G$11:$G402)&amp;"","")</f>
        <v/>
      </c>
      <c r="B402" s="72"/>
      <c r="C402" s="72"/>
      <c r="D402" s="34"/>
      <c r="E402" s="257" t="s">
        <v>207</v>
      </c>
      <c r="F402" s="73"/>
      <c r="G402" s="74"/>
      <c r="H402" s="22" t="str">
        <f t="shared" si="697"/>
        <v/>
      </c>
      <c r="I402" s="51" t="str">
        <f t="shared" si="698"/>
        <v/>
      </c>
      <c r="J402" s="23" t="str">
        <f t="shared" si="699"/>
        <v/>
      </c>
      <c r="K402" s="24" t="str">
        <f t="shared" si="700"/>
        <v/>
      </c>
      <c r="L402" s="25" t="str">
        <f>IF(F402=0,"",L$400)</f>
        <v/>
      </c>
      <c r="M402" s="26" t="str">
        <f t="shared" si="701"/>
        <v/>
      </c>
      <c r="N402" s="26" t="str">
        <f t="shared" si="702"/>
        <v/>
      </c>
      <c r="O402" s="24" t="str">
        <f t="shared" si="703"/>
        <v/>
      </c>
      <c r="P402" s="27" t="str">
        <f t="shared" si="704"/>
        <v/>
      </c>
      <c r="Q402" s="24" t="str">
        <f t="shared" si="705"/>
        <v/>
      </c>
      <c r="R402" s="123"/>
    </row>
    <row r="403" spans="1:18" x14ac:dyDescent="0.35">
      <c r="A403" s="71" t="str">
        <f>IF(TRIM(G403)&lt;&gt;"",COUNTA(G$11:$G403)&amp;"","")</f>
        <v>231</v>
      </c>
      <c r="B403" s="303" t="s">
        <v>643</v>
      </c>
      <c r="C403" s="303" t="s">
        <v>643</v>
      </c>
      <c r="D403" s="34"/>
      <c r="E403" s="248" t="s">
        <v>354</v>
      </c>
      <c r="F403" s="73">
        <v>22.85</v>
      </c>
      <c r="G403" s="74" t="s">
        <v>154</v>
      </c>
      <c r="H403" s="22">
        <v>0.1</v>
      </c>
      <c r="I403" s="51">
        <f t="shared" si="698"/>
        <v>25.135000000000002</v>
      </c>
      <c r="J403" s="23">
        <v>12.5</v>
      </c>
      <c r="K403" s="24">
        <f t="shared" si="700"/>
        <v>314.1875</v>
      </c>
      <c r="L403" s="25">
        <f>IF(F403=0,"",L$400)</f>
        <v>101.28800000000003</v>
      </c>
      <c r="M403" s="26">
        <v>0.2</v>
      </c>
      <c r="N403" s="26">
        <f t="shared" si="702"/>
        <v>5.027000000000001</v>
      </c>
      <c r="O403" s="24">
        <f t="shared" si="703"/>
        <v>509.17477600000024</v>
      </c>
      <c r="P403" s="27">
        <f t="shared" si="704"/>
        <v>32.757600000000011</v>
      </c>
      <c r="Q403" s="24">
        <f t="shared" si="705"/>
        <v>823.36227600000029</v>
      </c>
      <c r="R403" s="123"/>
    </row>
    <row r="404" spans="1:18" x14ac:dyDescent="0.35">
      <c r="A404" s="71" t="str">
        <f>IF(TRIM(G404)&lt;&gt;"",COUNTA(G$11:$G404)&amp;"","")</f>
        <v/>
      </c>
      <c r="B404" s="304"/>
      <c r="C404" s="304"/>
      <c r="D404" s="34"/>
      <c r="E404" s="248"/>
      <c r="F404" s="73"/>
      <c r="G404" s="74"/>
      <c r="H404" s="22"/>
      <c r="I404" s="51"/>
      <c r="J404" s="23"/>
      <c r="K404" s="24"/>
      <c r="L404" s="25"/>
      <c r="M404" s="26"/>
      <c r="N404" s="26"/>
      <c r="O404" s="24"/>
      <c r="P404" s="27"/>
      <c r="Q404" s="24"/>
      <c r="R404" s="123"/>
    </row>
    <row r="405" spans="1:18" x14ac:dyDescent="0.35">
      <c r="A405" s="71" t="str">
        <f>IF(TRIM(G405)&lt;&gt;"",COUNTA(G$11:$G405)&amp;"","")</f>
        <v/>
      </c>
      <c r="B405" s="304"/>
      <c r="C405" s="304"/>
      <c r="D405" s="34"/>
      <c r="E405" s="257" t="s">
        <v>379</v>
      </c>
      <c r="F405" s="73"/>
      <c r="G405" s="74"/>
      <c r="H405" s="22"/>
      <c r="I405" s="51"/>
      <c r="J405" s="23"/>
      <c r="K405" s="24"/>
      <c r="L405" s="25"/>
      <c r="M405" s="26"/>
      <c r="N405" s="26"/>
      <c r="O405" s="24"/>
      <c r="P405" s="27"/>
      <c r="Q405" s="24"/>
      <c r="R405" s="123"/>
    </row>
    <row r="406" spans="1:18" x14ac:dyDescent="0.35">
      <c r="A406" s="71" t="str">
        <f>IF(TRIM(G406)&lt;&gt;"",COUNTA(G$11:$G406)&amp;"","")</f>
        <v>232</v>
      </c>
      <c r="B406" s="304"/>
      <c r="C406" s="304"/>
      <c r="D406" s="34"/>
      <c r="E406" s="248" t="s">
        <v>639</v>
      </c>
      <c r="F406" s="73">
        <v>76</v>
      </c>
      <c r="G406" s="74" t="s">
        <v>141</v>
      </c>
      <c r="H406" s="22">
        <v>0.1</v>
      </c>
      <c r="I406" s="51">
        <f t="shared" ref="I406" si="706">IF(F406=0,"",F406+(F406*H406))</f>
        <v>83.6</v>
      </c>
      <c r="J406" s="23">
        <v>0.75</v>
      </c>
      <c r="K406" s="24">
        <f t="shared" ref="K406" si="707">IF(F406=0,"",J406*I406)</f>
        <v>62.699999999999996</v>
      </c>
      <c r="L406" s="25">
        <f t="shared" ref="L406" si="708">IF(F406=0,"",L$400)</f>
        <v>101.28800000000003</v>
      </c>
      <c r="M406" s="26">
        <v>6.5000000000000002E-2</v>
      </c>
      <c r="N406" s="26">
        <f t="shared" ref="N406" si="709">IF(F406=0,"",M406*I406)</f>
        <v>5.4340000000000002</v>
      </c>
      <c r="O406" s="24">
        <f t="shared" ref="O406" si="710">IF(F406=0,"",N406*L406)</f>
        <v>550.39899200000013</v>
      </c>
      <c r="P406" s="27">
        <f t="shared" ref="P406" si="711">IF(F406=0,"",(K406+O406)/I406)</f>
        <v>7.3337200000000022</v>
      </c>
      <c r="Q406" s="24">
        <f t="shared" ref="Q406" si="712">IF(F406=0,"",(P406*I406))</f>
        <v>613.09899200000018</v>
      </c>
      <c r="R406" s="123"/>
    </row>
    <row r="407" spans="1:18" x14ac:dyDescent="0.35">
      <c r="A407" s="71" t="str">
        <f>IF(TRIM(G407)&lt;&gt;"",COUNTA(G$11:$G407)&amp;"","")</f>
        <v/>
      </c>
      <c r="B407" s="304"/>
      <c r="C407" s="304"/>
      <c r="D407" s="34"/>
      <c r="E407" s="248"/>
      <c r="F407" s="73"/>
      <c r="G407" s="74"/>
      <c r="H407" s="22"/>
      <c r="I407" s="51"/>
      <c r="J407" s="23"/>
      <c r="K407" s="24"/>
      <c r="L407" s="25"/>
      <c r="M407" s="26"/>
      <c r="N407" s="26"/>
      <c r="O407" s="24"/>
      <c r="P407" s="27"/>
      <c r="Q407" s="24"/>
      <c r="R407" s="123"/>
    </row>
    <row r="408" spans="1:18" x14ac:dyDescent="0.35">
      <c r="A408" s="71" t="str">
        <f>IF(TRIM(G408)&lt;&gt;"",COUNTA(G$11:$G408)&amp;"","")</f>
        <v/>
      </c>
      <c r="B408" s="304"/>
      <c r="C408" s="304"/>
      <c r="D408" s="34"/>
      <c r="E408" s="257" t="s">
        <v>206</v>
      </c>
      <c r="F408" s="73"/>
      <c r="G408" s="74"/>
      <c r="H408" s="22"/>
      <c r="I408" s="51" t="str">
        <f t="shared" si="698"/>
        <v/>
      </c>
      <c r="J408" s="23"/>
      <c r="K408" s="24" t="str">
        <f t="shared" si="700"/>
        <v/>
      </c>
      <c r="L408" s="25" t="str">
        <f>IF(F408=0,"",L$400)</f>
        <v/>
      </c>
      <c r="M408" s="26"/>
      <c r="N408" s="26" t="str">
        <f t="shared" si="702"/>
        <v/>
      </c>
      <c r="O408" s="24" t="str">
        <f t="shared" si="703"/>
        <v/>
      </c>
      <c r="P408" s="27" t="str">
        <f t="shared" si="704"/>
        <v/>
      </c>
      <c r="Q408" s="24" t="str">
        <f t="shared" si="705"/>
        <v/>
      </c>
      <c r="R408" s="123"/>
    </row>
    <row r="409" spans="1:18" x14ac:dyDescent="0.35">
      <c r="A409" s="71" t="str">
        <f>IF(TRIM(G409)&lt;&gt;"",COUNTA(G$11:$G409)&amp;"","")</f>
        <v>233</v>
      </c>
      <c r="B409" s="304"/>
      <c r="C409" s="304"/>
      <c r="D409" s="34"/>
      <c r="E409" s="64" t="s">
        <v>355</v>
      </c>
      <c r="F409" s="246">
        <v>24.5</v>
      </c>
      <c r="G409" s="74" t="s">
        <v>154</v>
      </c>
      <c r="H409" s="22">
        <v>0.1</v>
      </c>
      <c r="I409" s="51">
        <f t="shared" si="698"/>
        <v>26.95</v>
      </c>
      <c r="J409" s="23">
        <v>4.2</v>
      </c>
      <c r="K409" s="24">
        <f t="shared" si="700"/>
        <v>113.19</v>
      </c>
      <c r="L409" s="25">
        <f>IF(F409=0,"",L$400)</f>
        <v>101.28800000000003</v>
      </c>
      <c r="M409" s="26">
        <v>0.15</v>
      </c>
      <c r="N409" s="26">
        <f t="shared" si="702"/>
        <v>4.0424999999999995</v>
      </c>
      <c r="O409" s="24">
        <f t="shared" si="703"/>
        <v>409.45674000000008</v>
      </c>
      <c r="P409" s="27">
        <f t="shared" si="704"/>
        <v>19.393200000000007</v>
      </c>
      <c r="Q409" s="24">
        <f t="shared" si="705"/>
        <v>522.64674000000014</v>
      </c>
      <c r="R409" s="123"/>
    </row>
    <row r="410" spans="1:18" x14ac:dyDescent="0.35">
      <c r="A410" s="71" t="str">
        <f>IF(TRIM(G410)&lt;&gt;"",COUNTA(G$11:$G410)&amp;"","")</f>
        <v>234</v>
      </c>
      <c r="B410" s="304"/>
      <c r="C410" s="304"/>
      <c r="D410" s="34"/>
      <c r="E410" s="64" t="s">
        <v>356</v>
      </c>
      <c r="F410" s="246">
        <v>57.4</v>
      </c>
      <c r="G410" s="74" t="s">
        <v>154</v>
      </c>
      <c r="H410" s="22">
        <v>0.1</v>
      </c>
      <c r="I410" s="51">
        <f t="shared" ref="I410:I414" si="713">IF(F410=0,"",F410+(F410*H410))</f>
        <v>63.14</v>
      </c>
      <c r="J410" s="23">
        <v>3</v>
      </c>
      <c r="K410" s="24">
        <f t="shared" ref="K410:K414" si="714">IF(F410=0,"",J410*I410)</f>
        <v>189.42000000000002</v>
      </c>
      <c r="L410" s="25">
        <f t="shared" ref="L410:L414" si="715">IF(F410=0,"",L$400)</f>
        <v>101.28800000000003</v>
      </c>
      <c r="M410" s="26">
        <v>0.12</v>
      </c>
      <c r="N410" s="26">
        <f t="shared" ref="N410:N414" si="716">IF(F410=0,"",M410*I410)</f>
        <v>7.5767999999999995</v>
      </c>
      <c r="O410" s="24">
        <f t="shared" ref="O410:O414" si="717">IF(F410=0,"",N410*L410)</f>
        <v>767.43891840000015</v>
      </c>
      <c r="P410" s="27">
        <f t="shared" ref="P410:P414" si="718">IF(F410=0,"",(K410+O410)/I410)</f>
        <v>15.154560000000004</v>
      </c>
      <c r="Q410" s="24">
        <f t="shared" ref="Q410:Q414" si="719">IF(F410=0,"",(P410*I410))</f>
        <v>956.85891840000022</v>
      </c>
      <c r="R410" s="123"/>
    </row>
    <row r="411" spans="1:18" x14ac:dyDescent="0.35">
      <c r="A411" s="71" t="str">
        <f>IF(TRIM(G411)&lt;&gt;"",COUNTA(G$11:$G411)&amp;"","")</f>
        <v>235</v>
      </c>
      <c r="B411" s="304"/>
      <c r="C411" s="304"/>
      <c r="D411" s="34"/>
      <c r="E411" s="64" t="s">
        <v>357</v>
      </c>
      <c r="F411" s="246">
        <v>51.2</v>
      </c>
      <c r="G411" s="74" t="s">
        <v>154</v>
      </c>
      <c r="H411" s="22">
        <v>0.1</v>
      </c>
      <c r="I411" s="51">
        <f t="shared" si="713"/>
        <v>56.320000000000007</v>
      </c>
      <c r="J411" s="23">
        <v>3</v>
      </c>
      <c r="K411" s="24">
        <f t="shared" si="714"/>
        <v>168.96000000000004</v>
      </c>
      <c r="L411" s="25">
        <f t="shared" si="715"/>
        <v>101.28800000000003</v>
      </c>
      <c r="M411" s="26">
        <v>0.12</v>
      </c>
      <c r="N411" s="26">
        <f t="shared" si="716"/>
        <v>6.7584000000000009</v>
      </c>
      <c r="O411" s="24">
        <f t="shared" si="717"/>
        <v>684.54481920000023</v>
      </c>
      <c r="P411" s="27">
        <f t="shared" si="718"/>
        <v>15.154560000000004</v>
      </c>
      <c r="Q411" s="24">
        <f t="shared" si="719"/>
        <v>853.50481920000027</v>
      </c>
      <c r="R411" s="123"/>
    </row>
    <row r="412" spans="1:18" x14ac:dyDescent="0.35">
      <c r="A412" s="71" t="str">
        <f>IF(TRIM(G412)&lt;&gt;"",COUNTA(G$11:$G412)&amp;"","")</f>
        <v>236</v>
      </c>
      <c r="B412" s="304"/>
      <c r="C412" s="304"/>
      <c r="D412" s="34"/>
      <c r="E412" s="64" t="s">
        <v>640</v>
      </c>
      <c r="F412" s="246">
        <v>3.7</v>
      </c>
      <c r="G412" s="74" t="s">
        <v>154</v>
      </c>
      <c r="H412" s="22">
        <v>0.1</v>
      </c>
      <c r="I412" s="51">
        <f t="shared" si="713"/>
        <v>4.07</v>
      </c>
      <c r="J412" s="23">
        <v>6.5</v>
      </c>
      <c r="K412" s="24">
        <f t="shared" si="714"/>
        <v>26.455000000000002</v>
      </c>
      <c r="L412" s="25">
        <f t="shared" si="715"/>
        <v>101.28800000000003</v>
      </c>
      <c r="M412" s="26">
        <v>0.18</v>
      </c>
      <c r="N412" s="26">
        <f t="shared" si="716"/>
        <v>0.73260000000000003</v>
      </c>
      <c r="O412" s="24">
        <f t="shared" si="717"/>
        <v>74.20358880000002</v>
      </c>
      <c r="P412" s="27">
        <f t="shared" si="718"/>
        <v>24.731840000000002</v>
      </c>
      <c r="Q412" s="24">
        <f t="shared" si="719"/>
        <v>100.65858880000002</v>
      </c>
      <c r="R412" s="123"/>
    </row>
    <row r="413" spans="1:18" x14ac:dyDescent="0.35">
      <c r="A413" s="71" t="str">
        <f>IF(TRIM(G413)&lt;&gt;"",COUNTA(G$11:$G413)&amp;"","")</f>
        <v>237</v>
      </c>
      <c r="B413" s="304"/>
      <c r="C413" s="304"/>
      <c r="D413" s="34"/>
      <c r="E413" s="64" t="s">
        <v>641</v>
      </c>
      <c r="F413" s="246">
        <v>35.54</v>
      </c>
      <c r="G413" s="74" t="s">
        <v>154</v>
      </c>
      <c r="H413" s="22">
        <v>0.1</v>
      </c>
      <c r="I413" s="51">
        <f t="shared" si="713"/>
        <v>39.094000000000001</v>
      </c>
      <c r="J413" s="23">
        <v>3</v>
      </c>
      <c r="K413" s="24">
        <f t="shared" si="714"/>
        <v>117.28200000000001</v>
      </c>
      <c r="L413" s="25">
        <f t="shared" si="715"/>
        <v>101.28800000000003</v>
      </c>
      <c r="M413" s="26">
        <v>0.12</v>
      </c>
      <c r="N413" s="26">
        <f t="shared" si="716"/>
        <v>4.6912799999999999</v>
      </c>
      <c r="O413" s="24">
        <f t="shared" si="717"/>
        <v>475.17036864000011</v>
      </c>
      <c r="P413" s="27">
        <f t="shared" si="718"/>
        <v>15.154560000000004</v>
      </c>
      <c r="Q413" s="24">
        <f t="shared" si="719"/>
        <v>592.45236864000015</v>
      </c>
      <c r="R413" s="123"/>
    </row>
    <row r="414" spans="1:18" x14ac:dyDescent="0.35">
      <c r="A414" s="71" t="str">
        <f>IF(TRIM(G414)&lt;&gt;"",COUNTA(G$11:$G414)&amp;"","")</f>
        <v>238</v>
      </c>
      <c r="B414" s="304"/>
      <c r="C414" s="304"/>
      <c r="D414" s="34"/>
      <c r="E414" s="64" t="s">
        <v>358</v>
      </c>
      <c r="F414" s="246">
        <v>141.15</v>
      </c>
      <c r="G414" s="74" t="s">
        <v>154</v>
      </c>
      <c r="H414" s="22">
        <v>0.1</v>
      </c>
      <c r="I414" s="51">
        <f t="shared" si="713"/>
        <v>155.26500000000001</v>
      </c>
      <c r="J414" s="23">
        <v>2.8</v>
      </c>
      <c r="K414" s="24">
        <f t="shared" si="714"/>
        <v>434.74200000000002</v>
      </c>
      <c r="L414" s="25">
        <f t="shared" si="715"/>
        <v>101.28800000000003</v>
      </c>
      <c r="M414" s="26">
        <v>0.1</v>
      </c>
      <c r="N414" s="26">
        <f t="shared" si="716"/>
        <v>15.526500000000002</v>
      </c>
      <c r="O414" s="24">
        <f t="shared" si="717"/>
        <v>1572.6481320000007</v>
      </c>
      <c r="P414" s="27">
        <f t="shared" si="718"/>
        <v>12.928800000000003</v>
      </c>
      <c r="Q414" s="24">
        <f t="shared" si="719"/>
        <v>2007.3901320000007</v>
      </c>
      <c r="R414" s="123"/>
    </row>
    <row r="415" spans="1:18" x14ac:dyDescent="0.35">
      <c r="A415" s="71" t="str">
        <f>IF(TRIM(G415)&lt;&gt;"",COUNTA(G$11:$G415)&amp;"","")</f>
        <v/>
      </c>
      <c r="B415" s="304"/>
      <c r="C415" s="304"/>
      <c r="D415" s="34"/>
      <c r="E415" s="64"/>
      <c r="F415" s="246"/>
      <c r="G415" s="74"/>
      <c r="H415" s="22"/>
      <c r="I415" s="51"/>
      <c r="J415" s="23"/>
      <c r="K415" s="24"/>
      <c r="L415" s="25"/>
      <c r="M415" s="26"/>
      <c r="N415" s="26"/>
      <c r="O415" s="24"/>
      <c r="P415" s="27"/>
      <c r="Q415" s="24"/>
      <c r="R415" s="123"/>
    </row>
    <row r="416" spans="1:18" x14ac:dyDescent="0.35">
      <c r="A416" s="71" t="str">
        <f>IF(TRIM(G416)&lt;&gt;"",COUNTA(G$11:$G416)&amp;"","")</f>
        <v/>
      </c>
      <c r="B416" s="304"/>
      <c r="C416" s="304"/>
      <c r="D416" s="34"/>
      <c r="E416" s="257" t="s">
        <v>379</v>
      </c>
      <c r="F416" s="246"/>
      <c r="G416" s="74"/>
      <c r="H416" s="22"/>
      <c r="I416" s="51"/>
      <c r="J416" s="23"/>
      <c r="K416" s="24"/>
      <c r="L416" s="25"/>
      <c r="M416" s="26"/>
      <c r="N416" s="26"/>
      <c r="O416" s="24"/>
      <c r="P416" s="27"/>
      <c r="Q416" s="24"/>
      <c r="R416" s="123"/>
    </row>
    <row r="417" spans="1:18" x14ac:dyDescent="0.35">
      <c r="A417" s="71" t="str">
        <f>IF(TRIM(G417)&lt;&gt;"",COUNTA(G$11:$G417)&amp;"","")</f>
        <v>239</v>
      </c>
      <c r="B417" s="304"/>
      <c r="C417" s="304"/>
      <c r="D417" s="34"/>
      <c r="E417" s="248" t="s">
        <v>380</v>
      </c>
      <c r="F417" s="246">
        <v>102.7127</v>
      </c>
      <c r="G417" s="74" t="s">
        <v>141</v>
      </c>
      <c r="H417" s="22">
        <v>0.1</v>
      </c>
      <c r="I417" s="51">
        <f t="shared" ref="I417" si="720">IF(F417=0,"",F417+(F417*H417))</f>
        <v>112.98397</v>
      </c>
      <c r="J417" s="23">
        <v>0.75</v>
      </c>
      <c r="K417" s="24">
        <f t="shared" ref="K417" si="721">IF(F417=0,"",J417*I417)</f>
        <v>84.7379775</v>
      </c>
      <c r="L417" s="25">
        <f t="shared" ref="L417" si="722">IF(F417=0,"",L$400)</f>
        <v>101.28800000000003</v>
      </c>
      <c r="M417" s="26">
        <v>6.5000000000000002E-2</v>
      </c>
      <c r="N417" s="26">
        <f t="shared" ref="N417" si="723">IF(F417=0,"",M417*I417)</f>
        <v>7.3439580500000003</v>
      </c>
      <c r="O417" s="24">
        <f t="shared" ref="O417" si="724">IF(F417=0,"",N417*L417)</f>
        <v>743.85482296840019</v>
      </c>
      <c r="P417" s="27">
        <f t="shared" ref="P417" si="725">IF(F417=0,"",(K417+O417)/I417)</f>
        <v>7.3337200000000013</v>
      </c>
      <c r="Q417" s="24">
        <f t="shared" ref="Q417" si="726">IF(F417=0,"",(P417*I417))</f>
        <v>828.59280046840013</v>
      </c>
      <c r="R417" s="123"/>
    </row>
    <row r="418" spans="1:18" x14ac:dyDescent="0.35">
      <c r="A418" s="71" t="str">
        <f>IF(TRIM(G418)&lt;&gt;"",COUNTA(G$11:$G418)&amp;"","")</f>
        <v/>
      </c>
      <c r="B418" s="304"/>
      <c r="C418" s="304"/>
      <c r="D418" s="34"/>
      <c r="E418" s="64"/>
      <c r="F418" s="246"/>
      <c r="G418" s="74"/>
      <c r="H418" s="22"/>
      <c r="I418" s="51"/>
      <c r="J418" s="23"/>
      <c r="K418" s="24"/>
      <c r="L418" s="25"/>
      <c r="M418" s="26"/>
      <c r="N418" s="26"/>
      <c r="O418" s="24"/>
      <c r="P418" s="27"/>
      <c r="Q418" s="24"/>
      <c r="R418" s="123"/>
    </row>
    <row r="419" spans="1:18" x14ac:dyDescent="0.35">
      <c r="A419" s="71" t="str">
        <f>IF(TRIM(G419)&lt;&gt;"",COUNTA(G$11:$G419)&amp;"","")</f>
        <v/>
      </c>
      <c r="B419" s="304"/>
      <c r="C419" s="304"/>
      <c r="D419" s="34"/>
      <c r="E419" s="257" t="s">
        <v>359</v>
      </c>
      <c r="F419" s="246"/>
      <c r="G419" s="74"/>
      <c r="H419" s="22"/>
      <c r="I419" s="51"/>
      <c r="J419" s="23"/>
      <c r="K419" s="24"/>
      <c r="L419" s="25"/>
      <c r="M419" s="26"/>
      <c r="N419" s="26"/>
      <c r="O419" s="24"/>
      <c r="P419" s="27"/>
      <c r="Q419" s="24"/>
      <c r="R419" s="123"/>
    </row>
    <row r="420" spans="1:18" ht="29" x14ac:dyDescent="0.35">
      <c r="A420" s="71" t="str">
        <f>IF(TRIM(G420)&lt;&gt;"",COUNTA(G$11:$G420)&amp;"","")</f>
        <v>240</v>
      </c>
      <c r="B420" s="304"/>
      <c r="C420" s="304"/>
      <c r="D420" s="34"/>
      <c r="E420" s="69" t="s">
        <v>381</v>
      </c>
      <c r="F420" s="246">
        <v>5</v>
      </c>
      <c r="G420" s="74" t="s">
        <v>192</v>
      </c>
      <c r="H420" s="22">
        <v>0</v>
      </c>
      <c r="I420" s="51">
        <f t="shared" ref="I420" si="727">IF(F420=0,"",F420+(F420*H420))</f>
        <v>5</v>
      </c>
      <c r="J420" s="23">
        <v>250</v>
      </c>
      <c r="K420" s="24">
        <f t="shared" ref="K420" si="728">IF(F420=0,"",J420*I420)</f>
        <v>1250</v>
      </c>
      <c r="L420" s="25">
        <f t="shared" ref="L420" si="729">IF(F420=0,"",L$400)</f>
        <v>101.28800000000003</v>
      </c>
      <c r="M420" s="26">
        <v>2.0750000000000002</v>
      </c>
      <c r="N420" s="26">
        <f t="shared" ref="N420" si="730">IF(F420=0,"",M420*I420)</f>
        <v>10.375</v>
      </c>
      <c r="O420" s="24">
        <f t="shared" ref="O420" si="731">IF(F420=0,"",N420*L420)</f>
        <v>1050.8630000000003</v>
      </c>
      <c r="P420" s="27">
        <f t="shared" ref="P420" si="732">IF(F420=0,"",(K420+O420)/I420)</f>
        <v>460.17260000000005</v>
      </c>
      <c r="Q420" s="24">
        <f t="shared" ref="Q420" si="733">IF(F420=0,"",(P420*I420))</f>
        <v>2300.8630000000003</v>
      </c>
      <c r="R420" s="123"/>
    </row>
    <row r="421" spans="1:18" ht="72.5" x14ac:dyDescent="0.35">
      <c r="A421" s="71" t="str">
        <f>IF(TRIM(G421)&lt;&gt;"",COUNTA(G$11:$G421)&amp;"","")</f>
        <v>241</v>
      </c>
      <c r="B421" s="304"/>
      <c r="C421" s="304"/>
      <c r="D421" s="34"/>
      <c r="E421" s="69" t="s">
        <v>651</v>
      </c>
      <c r="F421" s="246">
        <v>15</v>
      </c>
      <c r="G421" s="74" t="s">
        <v>192</v>
      </c>
      <c r="H421" s="22">
        <v>0</v>
      </c>
      <c r="I421" s="51">
        <f t="shared" ref="I421:I436" si="734">IF(F421=0,"",F421+(F421*H421))</f>
        <v>15</v>
      </c>
      <c r="J421" s="23">
        <v>151.13999999999999</v>
      </c>
      <c r="K421" s="24">
        <f t="shared" ref="K421:K436" si="735">IF(F421=0,"",J421*I421)</f>
        <v>2267.1</v>
      </c>
      <c r="L421" s="25">
        <f t="shared" ref="L421:L436" si="736">IF(F421=0,"",L$400)</f>
        <v>101.28800000000003</v>
      </c>
      <c r="M421" s="26">
        <v>1.254462</v>
      </c>
      <c r="N421" s="26">
        <f t="shared" ref="N421:N436" si="737">IF(F421=0,"",M421*I421)</f>
        <v>18.816929999999999</v>
      </c>
      <c r="O421" s="24">
        <f t="shared" ref="O421:O436" si="738">IF(F421=0,"",N421*L421)</f>
        <v>1905.9292058400003</v>
      </c>
      <c r="P421" s="27">
        <f t="shared" ref="P421:P436" si="739">IF(F421=0,"",(K421+O421)/I421)</f>
        <v>278.20194705599999</v>
      </c>
      <c r="Q421" s="24">
        <f t="shared" ref="Q421:Q436" si="740">IF(F421=0,"",(P421*I421))</f>
        <v>4173.02920584</v>
      </c>
      <c r="R421" s="123"/>
    </row>
    <row r="422" spans="1:18" ht="72.5" x14ac:dyDescent="0.35">
      <c r="A422" s="71" t="str">
        <f>IF(TRIM(G422)&lt;&gt;"",COUNTA(G$11:$G422)&amp;"","")</f>
        <v>242</v>
      </c>
      <c r="B422" s="304"/>
      <c r="C422" s="304"/>
      <c r="D422" s="34"/>
      <c r="E422" s="69" t="s">
        <v>360</v>
      </c>
      <c r="F422" s="246">
        <v>5</v>
      </c>
      <c r="G422" s="74" t="s">
        <v>192</v>
      </c>
      <c r="H422" s="22">
        <v>0</v>
      </c>
      <c r="I422" s="51">
        <f t="shared" si="734"/>
        <v>5</v>
      </c>
      <c r="J422" s="23">
        <v>180</v>
      </c>
      <c r="K422" s="24">
        <f t="shared" si="735"/>
        <v>900</v>
      </c>
      <c r="L422" s="25">
        <f t="shared" si="736"/>
        <v>101.28800000000003</v>
      </c>
      <c r="M422" s="26">
        <v>1.494</v>
      </c>
      <c r="N422" s="26">
        <f t="shared" si="737"/>
        <v>7.47</v>
      </c>
      <c r="O422" s="24">
        <f t="shared" si="738"/>
        <v>756.62136000000021</v>
      </c>
      <c r="P422" s="27">
        <f t="shared" si="739"/>
        <v>331.32427200000001</v>
      </c>
      <c r="Q422" s="24">
        <f t="shared" si="740"/>
        <v>1656.6213600000001</v>
      </c>
      <c r="R422" s="123"/>
    </row>
    <row r="423" spans="1:18" ht="72.5" x14ac:dyDescent="0.35">
      <c r="A423" s="71" t="str">
        <f>IF(TRIM(G423)&lt;&gt;"",COUNTA(G$11:$G423)&amp;"","")</f>
        <v>243</v>
      </c>
      <c r="B423" s="304"/>
      <c r="C423" s="304"/>
      <c r="D423" s="34"/>
      <c r="E423" s="69" t="s">
        <v>361</v>
      </c>
      <c r="F423" s="246">
        <v>5</v>
      </c>
      <c r="G423" s="74" t="s">
        <v>192</v>
      </c>
      <c r="H423" s="22">
        <v>0</v>
      </c>
      <c r="I423" s="51">
        <f t="shared" si="734"/>
        <v>5</v>
      </c>
      <c r="J423" s="23">
        <v>3200</v>
      </c>
      <c r="K423" s="24">
        <f t="shared" si="735"/>
        <v>16000</v>
      </c>
      <c r="L423" s="25">
        <f t="shared" si="736"/>
        <v>101.28800000000003</v>
      </c>
      <c r="M423" s="26">
        <v>6</v>
      </c>
      <c r="N423" s="26">
        <f t="shared" si="737"/>
        <v>30</v>
      </c>
      <c r="O423" s="24">
        <f t="shared" si="738"/>
        <v>3038.6400000000008</v>
      </c>
      <c r="P423" s="27">
        <f t="shared" si="739"/>
        <v>3807.7280000000001</v>
      </c>
      <c r="Q423" s="24">
        <f t="shared" si="740"/>
        <v>19038.64</v>
      </c>
      <c r="R423" s="123"/>
    </row>
    <row r="424" spans="1:18" ht="43.5" x14ac:dyDescent="0.35">
      <c r="A424" s="71" t="str">
        <f>IF(TRIM(G424)&lt;&gt;"",COUNTA(G$11:$G424)&amp;"","")</f>
        <v>244</v>
      </c>
      <c r="B424" s="304"/>
      <c r="C424" s="304"/>
      <c r="D424" s="34"/>
      <c r="E424" s="69" t="s">
        <v>362</v>
      </c>
      <c r="F424" s="246">
        <v>5</v>
      </c>
      <c r="G424" s="74" t="s">
        <v>192</v>
      </c>
      <c r="H424" s="22">
        <v>0</v>
      </c>
      <c r="I424" s="51">
        <f t="shared" si="734"/>
        <v>5</v>
      </c>
      <c r="J424" s="23">
        <v>32</v>
      </c>
      <c r="K424" s="24">
        <f t="shared" si="735"/>
        <v>160</v>
      </c>
      <c r="L424" s="25">
        <f t="shared" si="736"/>
        <v>101.28800000000003</v>
      </c>
      <c r="M424" s="26">
        <v>0.252</v>
      </c>
      <c r="N424" s="26">
        <f t="shared" si="737"/>
        <v>1.26</v>
      </c>
      <c r="O424" s="24">
        <f t="shared" si="738"/>
        <v>127.62288000000004</v>
      </c>
      <c r="P424" s="27">
        <f t="shared" si="739"/>
        <v>57.524576000000003</v>
      </c>
      <c r="Q424" s="24">
        <f t="shared" si="740"/>
        <v>287.62288000000001</v>
      </c>
      <c r="R424" s="123"/>
    </row>
    <row r="425" spans="1:18" ht="43.5" x14ac:dyDescent="0.35">
      <c r="A425" s="71" t="str">
        <f>IF(TRIM(G425)&lt;&gt;"",COUNTA(G$11:$G425)&amp;"","")</f>
        <v>245</v>
      </c>
      <c r="B425" s="304"/>
      <c r="C425" s="304"/>
      <c r="D425" s="34"/>
      <c r="E425" s="69" t="s">
        <v>363</v>
      </c>
      <c r="F425" s="246">
        <v>5</v>
      </c>
      <c r="G425" s="74" t="s">
        <v>192</v>
      </c>
      <c r="H425" s="22">
        <v>0</v>
      </c>
      <c r="I425" s="51">
        <f t="shared" si="734"/>
        <v>5</v>
      </c>
      <c r="J425" s="23">
        <v>28</v>
      </c>
      <c r="K425" s="24">
        <f t="shared" si="735"/>
        <v>140</v>
      </c>
      <c r="L425" s="25">
        <f t="shared" si="736"/>
        <v>101.28800000000003</v>
      </c>
      <c r="M425" s="26">
        <v>0.24</v>
      </c>
      <c r="N425" s="26">
        <f t="shared" si="737"/>
        <v>1.2</v>
      </c>
      <c r="O425" s="24">
        <f t="shared" si="738"/>
        <v>121.54560000000002</v>
      </c>
      <c r="P425" s="27">
        <f t="shared" si="739"/>
        <v>52.309120000000007</v>
      </c>
      <c r="Q425" s="24">
        <f t="shared" si="740"/>
        <v>261.54560000000004</v>
      </c>
      <c r="R425" s="123"/>
    </row>
    <row r="426" spans="1:18" ht="29" x14ac:dyDescent="0.35">
      <c r="A426" s="71" t="str">
        <f>IF(TRIM(G426)&lt;&gt;"",COUNTA(G$11:$G426)&amp;"","")</f>
        <v>246</v>
      </c>
      <c r="B426" s="304"/>
      <c r="C426" s="304"/>
      <c r="D426" s="34"/>
      <c r="E426" s="69" t="s">
        <v>364</v>
      </c>
      <c r="F426" s="246">
        <v>15</v>
      </c>
      <c r="G426" s="74" t="s">
        <v>192</v>
      </c>
      <c r="H426" s="22">
        <v>0</v>
      </c>
      <c r="I426" s="51">
        <f t="shared" si="734"/>
        <v>15</v>
      </c>
      <c r="J426" s="23">
        <v>2800</v>
      </c>
      <c r="K426" s="24">
        <f t="shared" si="735"/>
        <v>42000</v>
      </c>
      <c r="L426" s="25">
        <f t="shared" si="736"/>
        <v>101.28800000000003</v>
      </c>
      <c r="M426" s="26">
        <v>6</v>
      </c>
      <c r="N426" s="26">
        <f t="shared" si="737"/>
        <v>90</v>
      </c>
      <c r="O426" s="24">
        <f t="shared" si="738"/>
        <v>9115.9200000000019</v>
      </c>
      <c r="P426" s="27">
        <f t="shared" si="739"/>
        <v>3407.7280000000001</v>
      </c>
      <c r="Q426" s="24">
        <f t="shared" si="740"/>
        <v>51115.92</v>
      </c>
      <c r="R426" s="123"/>
    </row>
    <row r="427" spans="1:18" ht="29" x14ac:dyDescent="0.35">
      <c r="A427" s="71" t="str">
        <f>IF(TRIM(G427)&lt;&gt;"",COUNTA(G$11:$G427)&amp;"","")</f>
        <v>247</v>
      </c>
      <c r="B427" s="304"/>
      <c r="C427" s="304"/>
      <c r="D427" s="34"/>
      <c r="E427" s="69" t="s">
        <v>365</v>
      </c>
      <c r="F427" s="246">
        <v>5</v>
      </c>
      <c r="G427" s="74" t="s">
        <v>192</v>
      </c>
      <c r="H427" s="22">
        <v>0</v>
      </c>
      <c r="I427" s="51">
        <f t="shared" si="734"/>
        <v>5</v>
      </c>
      <c r="J427" s="23">
        <v>2800</v>
      </c>
      <c r="K427" s="24">
        <f t="shared" si="735"/>
        <v>14000</v>
      </c>
      <c r="L427" s="25">
        <f t="shared" si="736"/>
        <v>101.28800000000003</v>
      </c>
      <c r="M427" s="26">
        <v>6</v>
      </c>
      <c r="N427" s="26">
        <f t="shared" si="737"/>
        <v>30</v>
      </c>
      <c r="O427" s="24">
        <f t="shared" si="738"/>
        <v>3038.6400000000008</v>
      </c>
      <c r="P427" s="27">
        <f t="shared" si="739"/>
        <v>3407.7280000000001</v>
      </c>
      <c r="Q427" s="24">
        <f t="shared" si="740"/>
        <v>17038.64</v>
      </c>
      <c r="R427" s="123"/>
    </row>
    <row r="428" spans="1:18" ht="43.5" x14ac:dyDescent="0.35">
      <c r="A428" s="71" t="str">
        <f>IF(TRIM(G428)&lt;&gt;"",COUNTA(G$11:$G428)&amp;"","")</f>
        <v>248</v>
      </c>
      <c r="B428" s="304"/>
      <c r="C428" s="304"/>
      <c r="D428" s="34"/>
      <c r="E428" s="69" t="s">
        <v>366</v>
      </c>
      <c r="F428" s="246">
        <v>10</v>
      </c>
      <c r="G428" s="74" t="s">
        <v>192</v>
      </c>
      <c r="H428" s="22">
        <v>0</v>
      </c>
      <c r="I428" s="51">
        <f t="shared" si="734"/>
        <v>10</v>
      </c>
      <c r="J428" s="23">
        <v>95</v>
      </c>
      <c r="K428" s="24">
        <f t="shared" si="735"/>
        <v>950</v>
      </c>
      <c r="L428" s="25">
        <f t="shared" si="736"/>
        <v>101.28800000000003</v>
      </c>
      <c r="M428" s="26">
        <v>0.78</v>
      </c>
      <c r="N428" s="26">
        <f t="shared" si="737"/>
        <v>7.8000000000000007</v>
      </c>
      <c r="O428" s="24">
        <f t="shared" si="738"/>
        <v>790.04640000000029</v>
      </c>
      <c r="P428" s="27">
        <f t="shared" si="739"/>
        <v>174.00464000000002</v>
      </c>
      <c r="Q428" s="24">
        <f t="shared" si="740"/>
        <v>1740.0464000000002</v>
      </c>
      <c r="R428" s="123"/>
    </row>
    <row r="429" spans="1:18" ht="43.5" x14ac:dyDescent="0.35">
      <c r="A429" s="71" t="str">
        <f>IF(TRIM(G429)&lt;&gt;"",COUNTA(G$11:$G429)&amp;"","")</f>
        <v>249</v>
      </c>
      <c r="B429" s="304"/>
      <c r="C429" s="304"/>
      <c r="D429" s="34"/>
      <c r="E429" s="69" t="s">
        <v>367</v>
      </c>
      <c r="F429" s="246">
        <v>15</v>
      </c>
      <c r="G429" s="74" t="s">
        <v>192</v>
      </c>
      <c r="H429" s="22">
        <v>0</v>
      </c>
      <c r="I429" s="51">
        <f t="shared" si="734"/>
        <v>15</v>
      </c>
      <c r="J429" s="23">
        <v>18</v>
      </c>
      <c r="K429" s="24">
        <f t="shared" si="735"/>
        <v>270</v>
      </c>
      <c r="L429" s="25">
        <f t="shared" si="736"/>
        <v>101.28800000000003</v>
      </c>
      <c r="M429" s="26">
        <v>0.2</v>
      </c>
      <c r="N429" s="26">
        <f t="shared" si="737"/>
        <v>3</v>
      </c>
      <c r="O429" s="24">
        <f t="shared" si="738"/>
        <v>303.86400000000009</v>
      </c>
      <c r="P429" s="27">
        <f t="shared" si="739"/>
        <v>38.257600000000004</v>
      </c>
      <c r="Q429" s="24">
        <f t="shared" si="740"/>
        <v>573.86400000000003</v>
      </c>
      <c r="R429" s="123"/>
    </row>
    <row r="430" spans="1:18" ht="43.5" x14ac:dyDescent="0.35">
      <c r="A430" s="71" t="str">
        <f>IF(TRIM(G430)&lt;&gt;"",COUNTA(G$11:$G430)&amp;"","")</f>
        <v>250</v>
      </c>
      <c r="B430" s="304"/>
      <c r="C430" s="304"/>
      <c r="D430" s="34"/>
      <c r="E430" s="69" t="s">
        <v>368</v>
      </c>
      <c r="F430" s="246">
        <v>5</v>
      </c>
      <c r="G430" s="74" t="s">
        <v>192</v>
      </c>
      <c r="H430" s="22">
        <v>0</v>
      </c>
      <c r="I430" s="51">
        <f t="shared" si="734"/>
        <v>5</v>
      </c>
      <c r="J430" s="23">
        <v>18</v>
      </c>
      <c r="K430" s="24">
        <f t="shared" si="735"/>
        <v>90</v>
      </c>
      <c r="L430" s="25">
        <f t="shared" si="736"/>
        <v>101.28800000000003</v>
      </c>
      <c r="M430" s="26">
        <v>0.2</v>
      </c>
      <c r="N430" s="26">
        <f t="shared" si="737"/>
        <v>1</v>
      </c>
      <c r="O430" s="24">
        <f t="shared" si="738"/>
        <v>101.28800000000003</v>
      </c>
      <c r="P430" s="27">
        <f t="shared" si="739"/>
        <v>38.257600000000004</v>
      </c>
      <c r="Q430" s="24">
        <f t="shared" si="740"/>
        <v>191.28800000000001</v>
      </c>
      <c r="R430" s="123"/>
    </row>
    <row r="431" spans="1:18" ht="43.5" x14ac:dyDescent="0.35">
      <c r="A431" s="71" t="str">
        <f>IF(TRIM(G431)&lt;&gt;"",COUNTA(G$11:$G431)&amp;"","")</f>
        <v>251</v>
      </c>
      <c r="B431" s="304"/>
      <c r="C431" s="304"/>
      <c r="D431" s="34"/>
      <c r="E431" s="69" t="s">
        <v>369</v>
      </c>
      <c r="F431" s="246">
        <v>5</v>
      </c>
      <c r="G431" s="74" t="s">
        <v>192</v>
      </c>
      <c r="H431" s="22">
        <v>0</v>
      </c>
      <c r="I431" s="51">
        <f t="shared" si="734"/>
        <v>5</v>
      </c>
      <c r="J431" s="23">
        <v>26</v>
      </c>
      <c r="K431" s="24">
        <f t="shared" si="735"/>
        <v>130</v>
      </c>
      <c r="L431" s="25">
        <f t="shared" si="736"/>
        <v>101.28800000000003</v>
      </c>
      <c r="M431" s="26">
        <v>0.25</v>
      </c>
      <c r="N431" s="26">
        <f t="shared" si="737"/>
        <v>1.25</v>
      </c>
      <c r="O431" s="24">
        <f t="shared" si="738"/>
        <v>126.61000000000003</v>
      </c>
      <c r="P431" s="27">
        <f t="shared" si="739"/>
        <v>51.322000000000003</v>
      </c>
      <c r="Q431" s="24">
        <f t="shared" si="740"/>
        <v>256.61</v>
      </c>
      <c r="R431" s="123"/>
    </row>
    <row r="432" spans="1:18" ht="43.5" x14ac:dyDescent="0.35">
      <c r="A432" s="71" t="str">
        <f>IF(TRIM(G432)&lt;&gt;"",COUNTA(G$11:$G432)&amp;"","")</f>
        <v>252</v>
      </c>
      <c r="B432" s="304"/>
      <c r="C432" s="304"/>
      <c r="D432" s="34"/>
      <c r="E432" s="69" t="s">
        <v>370</v>
      </c>
      <c r="F432" s="246">
        <v>5</v>
      </c>
      <c r="G432" s="74" t="s">
        <v>192</v>
      </c>
      <c r="H432" s="22">
        <v>0</v>
      </c>
      <c r="I432" s="51">
        <f t="shared" si="734"/>
        <v>5</v>
      </c>
      <c r="J432" s="23">
        <v>18</v>
      </c>
      <c r="K432" s="24">
        <f t="shared" si="735"/>
        <v>90</v>
      </c>
      <c r="L432" s="25">
        <f t="shared" si="736"/>
        <v>101.28800000000003</v>
      </c>
      <c r="M432" s="26">
        <v>0.2</v>
      </c>
      <c r="N432" s="26">
        <f t="shared" si="737"/>
        <v>1</v>
      </c>
      <c r="O432" s="24">
        <f t="shared" si="738"/>
        <v>101.28800000000003</v>
      </c>
      <c r="P432" s="27">
        <f t="shared" si="739"/>
        <v>38.257600000000004</v>
      </c>
      <c r="Q432" s="24">
        <f t="shared" si="740"/>
        <v>191.28800000000001</v>
      </c>
      <c r="R432" s="123"/>
    </row>
    <row r="433" spans="1:18" x14ac:dyDescent="0.35">
      <c r="A433" s="71" t="str">
        <f>IF(TRIM(G433)&lt;&gt;"",COUNTA(G$11:$G433)&amp;"","")</f>
        <v>253</v>
      </c>
      <c r="B433" s="304"/>
      <c r="C433" s="304"/>
      <c r="D433" s="34"/>
      <c r="E433" s="69" t="s">
        <v>371</v>
      </c>
      <c r="F433" s="246">
        <v>5</v>
      </c>
      <c r="G433" s="74" t="s">
        <v>192</v>
      </c>
      <c r="H433" s="22">
        <v>0</v>
      </c>
      <c r="I433" s="51">
        <f t="shared" si="734"/>
        <v>5</v>
      </c>
      <c r="J433" s="23">
        <v>140</v>
      </c>
      <c r="K433" s="24">
        <f t="shared" si="735"/>
        <v>700</v>
      </c>
      <c r="L433" s="25">
        <f t="shared" si="736"/>
        <v>101.28800000000003</v>
      </c>
      <c r="M433" s="26">
        <v>1.1619999999999999</v>
      </c>
      <c r="N433" s="26">
        <f t="shared" si="737"/>
        <v>5.81</v>
      </c>
      <c r="O433" s="24">
        <f t="shared" si="738"/>
        <v>588.48328000000015</v>
      </c>
      <c r="P433" s="27">
        <f t="shared" si="739"/>
        <v>257.69665600000002</v>
      </c>
      <c r="Q433" s="24">
        <f t="shared" si="740"/>
        <v>1288.4832800000001</v>
      </c>
      <c r="R433" s="123"/>
    </row>
    <row r="434" spans="1:18" x14ac:dyDescent="0.35">
      <c r="A434" s="71" t="str">
        <f>IF(TRIM(G434)&lt;&gt;"",COUNTA(G$11:$G434)&amp;"","")</f>
        <v>254</v>
      </c>
      <c r="B434" s="304"/>
      <c r="C434" s="304"/>
      <c r="D434" s="34"/>
      <c r="E434" s="69" t="s">
        <v>372</v>
      </c>
      <c r="F434" s="246">
        <v>5</v>
      </c>
      <c r="G434" s="74" t="s">
        <v>192</v>
      </c>
      <c r="H434" s="22">
        <v>0</v>
      </c>
      <c r="I434" s="51">
        <f t="shared" si="734"/>
        <v>5</v>
      </c>
      <c r="J434" s="23">
        <v>180</v>
      </c>
      <c r="K434" s="24">
        <f t="shared" si="735"/>
        <v>900</v>
      </c>
      <c r="L434" s="25">
        <f t="shared" si="736"/>
        <v>101.28800000000003</v>
      </c>
      <c r="M434" s="26">
        <v>1.494</v>
      </c>
      <c r="N434" s="26">
        <f t="shared" si="737"/>
        <v>7.47</v>
      </c>
      <c r="O434" s="24">
        <f t="shared" si="738"/>
        <v>756.62136000000021</v>
      </c>
      <c r="P434" s="27">
        <f t="shared" si="739"/>
        <v>331.32427200000001</v>
      </c>
      <c r="Q434" s="24">
        <f t="shared" si="740"/>
        <v>1656.6213600000001</v>
      </c>
      <c r="R434" s="123"/>
    </row>
    <row r="435" spans="1:18" x14ac:dyDescent="0.35">
      <c r="A435" s="71" t="str">
        <f>IF(TRIM(G435)&lt;&gt;"",COUNTA(G$11:$G435)&amp;"","")</f>
        <v>255</v>
      </c>
      <c r="B435" s="304"/>
      <c r="C435" s="304"/>
      <c r="D435" s="34"/>
      <c r="E435" s="69" t="s">
        <v>373</v>
      </c>
      <c r="F435" s="246">
        <v>20</v>
      </c>
      <c r="G435" s="74" t="s">
        <v>192</v>
      </c>
      <c r="H435" s="22">
        <v>0</v>
      </c>
      <c r="I435" s="51">
        <f t="shared" si="734"/>
        <v>20</v>
      </c>
      <c r="J435" s="23">
        <v>45</v>
      </c>
      <c r="K435" s="24">
        <f t="shared" si="735"/>
        <v>900</v>
      </c>
      <c r="L435" s="25">
        <f t="shared" si="736"/>
        <v>101.28800000000003</v>
      </c>
      <c r="M435" s="26">
        <v>0.3735</v>
      </c>
      <c r="N435" s="26">
        <f t="shared" si="737"/>
        <v>7.47</v>
      </c>
      <c r="O435" s="24">
        <f t="shared" si="738"/>
        <v>756.62136000000021</v>
      </c>
      <c r="P435" s="27">
        <f t="shared" si="739"/>
        <v>82.831068000000002</v>
      </c>
      <c r="Q435" s="24">
        <f t="shared" si="740"/>
        <v>1656.6213600000001</v>
      </c>
      <c r="R435" s="123"/>
    </row>
    <row r="436" spans="1:18" x14ac:dyDescent="0.35">
      <c r="A436" s="71" t="str">
        <f>IF(TRIM(G436)&lt;&gt;"",COUNTA(G$11:$G436)&amp;"","")</f>
        <v>256</v>
      </c>
      <c r="B436" s="304"/>
      <c r="C436" s="304"/>
      <c r="D436" s="34"/>
      <c r="E436" s="69" t="s">
        <v>374</v>
      </c>
      <c r="F436" s="246">
        <v>5</v>
      </c>
      <c r="G436" s="74" t="s">
        <v>192</v>
      </c>
      <c r="H436" s="22">
        <v>0</v>
      </c>
      <c r="I436" s="51">
        <f t="shared" si="734"/>
        <v>5</v>
      </c>
      <c r="J436" s="23">
        <v>350</v>
      </c>
      <c r="K436" s="24">
        <f t="shared" si="735"/>
        <v>1750</v>
      </c>
      <c r="L436" s="25">
        <f t="shared" si="736"/>
        <v>101.28800000000003</v>
      </c>
      <c r="M436" s="26">
        <v>2.9050000000000002</v>
      </c>
      <c r="N436" s="26">
        <f t="shared" si="737"/>
        <v>14.525000000000002</v>
      </c>
      <c r="O436" s="24">
        <f t="shared" si="738"/>
        <v>1471.2082000000005</v>
      </c>
      <c r="P436" s="27">
        <f t="shared" si="739"/>
        <v>644.24164000000007</v>
      </c>
      <c r="Q436" s="24">
        <f t="shared" si="740"/>
        <v>3221.2082000000005</v>
      </c>
      <c r="R436" s="123"/>
    </row>
    <row r="437" spans="1:18" x14ac:dyDescent="0.35">
      <c r="A437" s="71" t="str">
        <f>IF(TRIM(G437)&lt;&gt;"",COUNTA(G$11:$G437)&amp;"","")</f>
        <v/>
      </c>
      <c r="B437" s="304"/>
      <c r="C437" s="304"/>
      <c r="D437" s="34"/>
      <c r="E437" s="64"/>
      <c r="F437" s="246"/>
      <c r="G437" s="74"/>
      <c r="H437" s="22"/>
      <c r="I437" s="51"/>
      <c r="J437" s="23"/>
      <c r="K437" s="24"/>
      <c r="L437" s="25"/>
      <c r="M437" s="26"/>
      <c r="N437" s="26"/>
      <c r="O437" s="24"/>
      <c r="P437" s="27"/>
      <c r="Q437" s="24"/>
      <c r="R437" s="123"/>
    </row>
    <row r="438" spans="1:18" x14ac:dyDescent="0.35">
      <c r="A438" s="71" t="str">
        <f>IF(TRIM(G438)&lt;&gt;"",COUNTA(G$11:$G438)&amp;"","")</f>
        <v/>
      </c>
      <c r="B438" s="304"/>
      <c r="C438" s="304"/>
      <c r="D438" s="34"/>
      <c r="E438" s="257" t="s">
        <v>375</v>
      </c>
      <c r="F438" s="246"/>
      <c r="G438" s="74"/>
      <c r="H438" s="22"/>
      <c r="I438" s="51"/>
      <c r="J438" s="23"/>
      <c r="K438" s="24"/>
      <c r="L438" s="25"/>
      <c r="M438" s="26"/>
      <c r="N438" s="26"/>
      <c r="O438" s="24"/>
      <c r="P438" s="27"/>
      <c r="Q438" s="24"/>
      <c r="R438" s="123"/>
    </row>
    <row r="439" spans="1:18" x14ac:dyDescent="0.35">
      <c r="A439" s="71" t="str">
        <f>IF(TRIM(G439)&lt;&gt;"",COUNTA(G$11:$G439)&amp;"","")</f>
        <v>257</v>
      </c>
      <c r="B439" s="304"/>
      <c r="C439" s="304"/>
      <c r="D439" s="34"/>
      <c r="E439" s="64" t="s">
        <v>376</v>
      </c>
      <c r="F439" s="246">
        <v>5</v>
      </c>
      <c r="G439" s="74" t="s">
        <v>192</v>
      </c>
      <c r="H439" s="22">
        <v>0</v>
      </c>
      <c r="I439" s="51">
        <f t="shared" ref="I439:I441" si="741">IF(F439=0,"",F439+(F439*H439))</f>
        <v>5</v>
      </c>
      <c r="J439" s="23">
        <v>35</v>
      </c>
      <c r="K439" s="24">
        <f t="shared" ref="K439:K441" si="742">IF(F439=0,"",J439*I439)</f>
        <v>175</v>
      </c>
      <c r="L439" s="25">
        <f t="shared" ref="L439:L441" si="743">IF(F439=0,"",L$400)</f>
        <v>101.28800000000003</v>
      </c>
      <c r="M439" s="26">
        <v>0.25</v>
      </c>
      <c r="N439" s="26">
        <f t="shared" ref="N439:N441" si="744">IF(F439=0,"",M439*I439)</f>
        <v>1.25</v>
      </c>
      <c r="O439" s="24">
        <f t="shared" ref="O439:O441" si="745">IF(F439=0,"",N439*L439)</f>
        <v>126.61000000000003</v>
      </c>
      <c r="P439" s="27">
        <f t="shared" ref="P439:P441" si="746">IF(F439=0,"",(K439+O439)/I439)</f>
        <v>60.322000000000003</v>
      </c>
      <c r="Q439" s="24">
        <f t="shared" ref="Q439:Q441" si="747">IF(F439=0,"",(P439*I439))</f>
        <v>301.61</v>
      </c>
      <c r="R439" s="123"/>
    </row>
    <row r="440" spans="1:18" x14ac:dyDescent="0.35">
      <c r="A440" s="71" t="str">
        <f>IF(TRIM(G440)&lt;&gt;"",COUNTA(G$11:$G440)&amp;"","")</f>
        <v>258</v>
      </c>
      <c r="B440" s="304"/>
      <c r="C440" s="304"/>
      <c r="D440" s="34"/>
      <c r="E440" s="64" t="s">
        <v>377</v>
      </c>
      <c r="F440" s="246">
        <v>30</v>
      </c>
      <c r="G440" s="74" t="s">
        <v>192</v>
      </c>
      <c r="H440" s="22">
        <v>0</v>
      </c>
      <c r="I440" s="51">
        <f t="shared" si="741"/>
        <v>30</v>
      </c>
      <c r="J440" s="23">
        <v>4</v>
      </c>
      <c r="K440" s="24">
        <f t="shared" si="742"/>
        <v>120</v>
      </c>
      <c r="L440" s="25">
        <f t="shared" si="743"/>
        <v>101.28800000000003</v>
      </c>
      <c r="M440" s="26">
        <v>0.1</v>
      </c>
      <c r="N440" s="26">
        <f t="shared" si="744"/>
        <v>3</v>
      </c>
      <c r="O440" s="24">
        <f t="shared" si="745"/>
        <v>303.86400000000009</v>
      </c>
      <c r="P440" s="27">
        <f t="shared" si="746"/>
        <v>14.128800000000004</v>
      </c>
      <c r="Q440" s="24">
        <f t="shared" si="747"/>
        <v>423.86400000000009</v>
      </c>
      <c r="R440" s="123"/>
    </row>
    <row r="441" spans="1:18" x14ac:dyDescent="0.35">
      <c r="A441" s="71" t="str">
        <f>IF(TRIM(G441)&lt;&gt;"",COUNTA(G$11:$G441)&amp;"","")</f>
        <v>259</v>
      </c>
      <c r="B441" s="305"/>
      <c r="C441" s="305"/>
      <c r="D441" s="34"/>
      <c r="E441" s="64" t="s">
        <v>378</v>
      </c>
      <c r="F441" s="246">
        <v>5</v>
      </c>
      <c r="G441" s="74" t="s">
        <v>192</v>
      </c>
      <c r="H441" s="22">
        <v>0</v>
      </c>
      <c r="I441" s="51">
        <f t="shared" si="741"/>
        <v>5</v>
      </c>
      <c r="J441" s="23">
        <v>6</v>
      </c>
      <c r="K441" s="24">
        <f t="shared" si="742"/>
        <v>30</v>
      </c>
      <c r="L441" s="25">
        <f t="shared" si="743"/>
        <v>101.28800000000003</v>
      </c>
      <c r="M441" s="26">
        <v>0.12</v>
      </c>
      <c r="N441" s="26">
        <f t="shared" si="744"/>
        <v>0.6</v>
      </c>
      <c r="O441" s="24">
        <f t="shared" si="745"/>
        <v>60.772800000000011</v>
      </c>
      <c r="P441" s="27">
        <f t="shared" si="746"/>
        <v>18.154560000000004</v>
      </c>
      <c r="Q441" s="24">
        <f t="shared" si="747"/>
        <v>90.772800000000018</v>
      </c>
      <c r="R441" s="123"/>
    </row>
    <row r="442" spans="1:18" ht="15" thickBot="1" x14ac:dyDescent="0.4">
      <c r="A442" s="71" t="str">
        <f>IF(TRIM(G442)&lt;&gt;"",COUNTA(G$11:$G442)&amp;"","")</f>
        <v/>
      </c>
      <c r="B442" s="75"/>
      <c r="C442" s="75"/>
      <c r="D442" s="34"/>
      <c r="E442" s="76"/>
      <c r="F442" s="73"/>
      <c r="G442" s="74"/>
      <c r="H442" s="22" t="str">
        <f t="shared" si="697"/>
        <v/>
      </c>
      <c r="I442" s="51" t="str">
        <f t="shared" si="698"/>
        <v/>
      </c>
      <c r="J442" s="23" t="str">
        <f t="shared" si="699"/>
        <v/>
      </c>
      <c r="K442" s="24" t="str">
        <f t="shared" si="700"/>
        <v/>
      </c>
      <c r="L442" s="25" t="str">
        <f>IF(F442=0,"",L$400)</f>
        <v/>
      </c>
      <c r="M442" s="26" t="str">
        <f t="shared" si="701"/>
        <v/>
      </c>
      <c r="N442" s="26" t="str">
        <f t="shared" si="702"/>
        <v/>
      </c>
      <c r="O442" s="24" t="str">
        <f t="shared" si="703"/>
        <v/>
      </c>
      <c r="P442" s="27" t="str">
        <f t="shared" ref="P442" si="748">IF(F442=0,"",(K442+O442)/I442)</f>
        <v/>
      </c>
      <c r="Q442" s="24" t="str">
        <f t="shared" ref="Q442" si="749">IF(F442=0,"",(P442*I442))</f>
        <v/>
      </c>
      <c r="R442" s="123"/>
    </row>
    <row r="443" spans="1:18" s="2" customFormat="1" ht="16" thickBot="1" x14ac:dyDescent="0.4">
      <c r="A443" s="84" t="str">
        <f>IF(TRIM(G443)&lt;&gt;"",COUNTA(G$11:$G443)&amp;"","")</f>
        <v/>
      </c>
      <c r="B443" s="36"/>
      <c r="C443" s="36"/>
      <c r="D443" s="37"/>
      <c r="E443" s="19"/>
      <c r="F443" s="90"/>
      <c r="G443" s="91"/>
      <c r="H443" s="85" t="s">
        <v>12</v>
      </c>
      <c r="I443" s="86"/>
      <c r="J443" s="87">
        <f>SUM(K$401:K$442)</f>
        <v>84333.774477500003</v>
      </c>
      <c r="K443" s="311" t="s">
        <v>13</v>
      </c>
      <c r="L443" s="312"/>
      <c r="M443" s="88">
        <f>SUM(O$401:O$442)</f>
        <v>30429.950603848411</v>
      </c>
      <c r="N443" s="311" t="s">
        <v>42</v>
      </c>
      <c r="O443" s="312"/>
      <c r="P443" s="89">
        <f>SUM(N$401:N$442)</f>
        <v>300.42996805000007</v>
      </c>
      <c r="Q443" s="191" t="s">
        <v>187</v>
      </c>
      <c r="R443" s="88">
        <f>SUM(Q$401:Q$442)</f>
        <v>114763.72508134843</v>
      </c>
    </row>
    <row r="444" spans="1:18" ht="25" customHeight="1" thickBot="1" x14ac:dyDescent="0.4">
      <c r="A444" s="181" t="str">
        <f>IF(TRIM(G444)&lt;&gt;"",COUNTA(G$11:$G444)&amp;"","")</f>
        <v/>
      </c>
      <c r="B444" s="182"/>
      <c r="C444" s="183" t="s">
        <v>120</v>
      </c>
      <c r="D444" s="193" t="s">
        <v>137</v>
      </c>
      <c r="E444" s="193" t="s">
        <v>140</v>
      </c>
      <c r="F444" s="194"/>
      <c r="G444" s="184"/>
      <c r="H444" s="182"/>
      <c r="I444" s="184"/>
      <c r="J444" s="182"/>
      <c r="K444" s="182"/>
      <c r="L444" s="202">
        <f>(48.16+36.2)*1.1</f>
        <v>92.796000000000006</v>
      </c>
      <c r="M444" s="182"/>
      <c r="N444" s="182"/>
      <c r="O444" s="182"/>
      <c r="P444" s="182"/>
      <c r="Q444" s="182"/>
      <c r="R444" s="185"/>
    </row>
    <row r="445" spans="1:18" x14ac:dyDescent="0.35">
      <c r="A445" s="71" t="str">
        <f>IF(TRIM(G445)&lt;&gt;"",COUNTA(G$11:$G445)&amp;"","")</f>
        <v/>
      </c>
      <c r="B445" s="72"/>
      <c r="C445" s="72"/>
      <c r="D445" s="249"/>
      <c r="E445" s="247" t="s">
        <v>311</v>
      </c>
      <c r="F445" s="246"/>
      <c r="G445" s="74"/>
      <c r="H445" s="22" t="str">
        <f t="shared" ref="H445" si="750">IF(F445=0,"",0)</f>
        <v/>
      </c>
      <c r="I445" s="51" t="str">
        <f t="shared" ref="I445:I493" si="751">IF(F445=0,"",F445+(F445*H445))</f>
        <v/>
      </c>
      <c r="J445" s="23" t="str">
        <f t="shared" ref="J445:J492" si="752">IF(F445=0,"",0)</f>
        <v/>
      </c>
      <c r="K445" s="24" t="str">
        <f t="shared" ref="K445:K493" si="753">IF(F445=0,"",J445*I445)</f>
        <v/>
      </c>
      <c r="L445" s="25" t="str">
        <f>IF(F445=0,"",L$444)</f>
        <v/>
      </c>
      <c r="M445" s="26" t="str">
        <f t="shared" ref="M445:M492" si="754">IF(F445=0,"",0)</f>
        <v/>
      </c>
      <c r="N445" s="26" t="str">
        <f t="shared" ref="N445:N493" si="755">IF(F445=0,"",M445*I445)</f>
        <v/>
      </c>
      <c r="O445" s="24" t="str">
        <f t="shared" ref="O445:O493" si="756">IF(F445=0,"",N445*L445)</f>
        <v/>
      </c>
      <c r="P445" s="27" t="str">
        <f t="shared" ref="P445:P494" si="757">IF(F445=0,"",(K445+O445)/I445)</f>
        <v/>
      </c>
      <c r="Q445" s="24" t="str">
        <f t="shared" ref="Q445:Q494" si="758">IF(F445=0,"",(P445*I445))</f>
        <v/>
      </c>
      <c r="R445" s="123"/>
    </row>
    <row r="446" spans="1:18" ht="29" x14ac:dyDescent="0.35">
      <c r="A446" s="71" t="str">
        <f>IF(TRIM(G446)&lt;&gt;"",COUNTA(G$11:$G446)&amp;"","")</f>
        <v>260</v>
      </c>
      <c r="B446" s="303" t="s">
        <v>644</v>
      </c>
      <c r="C446" s="303" t="s">
        <v>644</v>
      </c>
      <c r="D446" s="249"/>
      <c r="E446" s="69" t="s">
        <v>312</v>
      </c>
      <c r="F446" s="246">
        <v>10</v>
      </c>
      <c r="G446" s="74" t="s">
        <v>192</v>
      </c>
      <c r="H446" s="22">
        <v>0</v>
      </c>
      <c r="I446" s="51">
        <f t="shared" si="751"/>
        <v>10</v>
      </c>
      <c r="J446" s="23">
        <v>145</v>
      </c>
      <c r="K446" s="24">
        <f t="shared" si="753"/>
        <v>1450</v>
      </c>
      <c r="L446" s="25">
        <f>$L$444</f>
        <v>92.796000000000006</v>
      </c>
      <c r="M446" s="26">
        <v>1.2035</v>
      </c>
      <c r="N446" s="26">
        <f t="shared" si="755"/>
        <v>12.035</v>
      </c>
      <c r="O446" s="24">
        <f t="shared" si="756"/>
        <v>1116.7998600000001</v>
      </c>
      <c r="P446" s="27">
        <f t="shared" si="757"/>
        <v>256.67998599999999</v>
      </c>
      <c r="Q446" s="24">
        <f t="shared" si="758"/>
        <v>2566.7998600000001</v>
      </c>
      <c r="R446" s="123"/>
    </row>
    <row r="447" spans="1:18" ht="29" x14ac:dyDescent="0.35">
      <c r="A447" s="71" t="str">
        <f>IF(TRIM(G447)&lt;&gt;"",COUNTA(G$11:$G447)&amp;"","")</f>
        <v>261</v>
      </c>
      <c r="B447" s="304"/>
      <c r="C447" s="304"/>
      <c r="D447" s="249"/>
      <c r="E447" s="69" t="s">
        <v>313</v>
      </c>
      <c r="F447" s="246">
        <v>10</v>
      </c>
      <c r="G447" s="74" t="s">
        <v>192</v>
      </c>
      <c r="H447" s="22">
        <v>0</v>
      </c>
      <c r="I447" s="51">
        <f t="shared" si="751"/>
        <v>10</v>
      </c>
      <c r="J447" s="23">
        <v>140</v>
      </c>
      <c r="K447" s="24">
        <f t="shared" si="753"/>
        <v>1400</v>
      </c>
      <c r="L447" s="25">
        <f t="shared" ref="L447:L456" si="759">$L$444</f>
        <v>92.796000000000006</v>
      </c>
      <c r="M447" s="26">
        <v>1.1619999999999999</v>
      </c>
      <c r="N447" s="26">
        <f t="shared" si="755"/>
        <v>11.62</v>
      </c>
      <c r="O447" s="24">
        <f t="shared" si="756"/>
        <v>1078.28952</v>
      </c>
      <c r="P447" s="27">
        <f t="shared" si="757"/>
        <v>247.82895200000002</v>
      </c>
      <c r="Q447" s="24">
        <f t="shared" si="758"/>
        <v>2478.2895200000003</v>
      </c>
      <c r="R447" s="123"/>
    </row>
    <row r="448" spans="1:18" ht="29" x14ac:dyDescent="0.35">
      <c r="A448" s="71" t="str">
        <f>IF(TRIM(G448)&lt;&gt;"",COUNTA(G$11:$G448)&amp;"","")</f>
        <v>262</v>
      </c>
      <c r="B448" s="304"/>
      <c r="C448" s="304"/>
      <c r="D448" s="249"/>
      <c r="E448" s="69" t="s">
        <v>314</v>
      </c>
      <c r="F448" s="246">
        <v>25</v>
      </c>
      <c r="G448" s="74" t="s">
        <v>192</v>
      </c>
      <c r="H448" s="22">
        <v>0</v>
      </c>
      <c r="I448" s="51">
        <f t="shared" si="751"/>
        <v>25</v>
      </c>
      <c r="J448" s="23">
        <v>55</v>
      </c>
      <c r="K448" s="24">
        <f t="shared" si="753"/>
        <v>1375</v>
      </c>
      <c r="L448" s="25">
        <f t="shared" si="759"/>
        <v>92.796000000000006</v>
      </c>
      <c r="M448" s="26">
        <v>0.45650000000000002</v>
      </c>
      <c r="N448" s="26">
        <f t="shared" si="755"/>
        <v>11.4125</v>
      </c>
      <c r="O448" s="24">
        <f t="shared" si="756"/>
        <v>1059.0343500000001</v>
      </c>
      <c r="P448" s="27">
        <f t="shared" si="757"/>
        <v>97.361373999999998</v>
      </c>
      <c r="Q448" s="24">
        <f t="shared" si="758"/>
        <v>2434.0343499999999</v>
      </c>
      <c r="R448" s="123"/>
    </row>
    <row r="449" spans="1:18" ht="29" x14ac:dyDescent="0.35">
      <c r="A449" s="71" t="str">
        <f>IF(TRIM(G449)&lt;&gt;"",COUNTA(G$11:$G449)&amp;"","")</f>
        <v>263</v>
      </c>
      <c r="B449" s="304"/>
      <c r="C449" s="304"/>
      <c r="D449" s="249"/>
      <c r="E449" s="69" t="s">
        <v>315</v>
      </c>
      <c r="F449" s="246">
        <v>21</v>
      </c>
      <c r="G449" s="74" t="s">
        <v>192</v>
      </c>
      <c r="H449" s="22">
        <v>0</v>
      </c>
      <c r="I449" s="51">
        <f t="shared" si="751"/>
        <v>21</v>
      </c>
      <c r="J449" s="23">
        <v>70</v>
      </c>
      <c r="K449" s="24">
        <f t="shared" si="753"/>
        <v>1470</v>
      </c>
      <c r="L449" s="25">
        <f t="shared" si="759"/>
        <v>92.796000000000006</v>
      </c>
      <c r="M449" s="26">
        <v>0.58099999999999996</v>
      </c>
      <c r="N449" s="26">
        <f t="shared" si="755"/>
        <v>12.200999999999999</v>
      </c>
      <c r="O449" s="24">
        <f t="shared" si="756"/>
        <v>1132.203996</v>
      </c>
      <c r="P449" s="27">
        <f t="shared" si="757"/>
        <v>123.91447600000001</v>
      </c>
      <c r="Q449" s="24">
        <f t="shared" si="758"/>
        <v>2602.2039960000002</v>
      </c>
      <c r="R449" s="123"/>
    </row>
    <row r="450" spans="1:18" ht="29" x14ac:dyDescent="0.35">
      <c r="A450" s="71" t="str">
        <f>IF(TRIM(G450)&lt;&gt;"",COUNTA(G$11:$G450)&amp;"","")</f>
        <v>264</v>
      </c>
      <c r="B450" s="304"/>
      <c r="C450" s="304"/>
      <c r="D450" s="249"/>
      <c r="E450" s="69" t="s">
        <v>316</v>
      </c>
      <c r="F450" s="246">
        <v>10</v>
      </c>
      <c r="G450" s="74" t="s">
        <v>192</v>
      </c>
      <c r="H450" s="22">
        <v>0</v>
      </c>
      <c r="I450" s="51">
        <f t="shared" si="751"/>
        <v>10</v>
      </c>
      <c r="J450" s="23">
        <v>95</v>
      </c>
      <c r="K450" s="24">
        <f t="shared" si="753"/>
        <v>950</v>
      </c>
      <c r="L450" s="25">
        <f t="shared" si="759"/>
        <v>92.796000000000006</v>
      </c>
      <c r="M450" s="26">
        <v>0.78849999999999998</v>
      </c>
      <c r="N450" s="26">
        <f t="shared" si="755"/>
        <v>7.8849999999999998</v>
      </c>
      <c r="O450" s="24">
        <f t="shared" si="756"/>
        <v>731.69646</v>
      </c>
      <c r="P450" s="27">
        <f t="shared" si="757"/>
        <v>168.169646</v>
      </c>
      <c r="Q450" s="24">
        <f t="shared" si="758"/>
        <v>1681.6964600000001</v>
      </c>
      <c r="R450" s="123"/>
    </row>
    <row r="451" spans="1:18" ht="29" x14ac:dyDescent="0.35">
      <c r="A451" s="71" t="str">
        <f>IF(TRIM(G451)&lt;&gt;"",COUNTA(G$11:$G451)&amp;"","")</f>
        <v>265</v>
      </c>
      <c r="B451" s="304"/>
      <c r="C451" s="304"/>
      <c r="D451" s="249"/>
      <c r="E451" s="69" t="s">
        <v>317</v>
      </c>
      <c r="F451" s="246">
        <v>15</v>
      </c>
      <c r="G451" s="74" t="s">
        <v>192</v>
      </c>
      <c r="H451" s="22">
        <v>0</v>
      </c>
      <c r="I451" s="51">
        <f t="shared" si="751"/>
        <v>15</v>
      </c>
      <c r="J451" s="23">
        <v>85</v>
      </c>
      <c r="K451" s="24">
        <f t="shared" si="753"/>
        <v>1275</v>
      </c>
      <c r="L451" s="25">
        <f t="shared" si="759"/>
        <v>92.796000000000006</v>
      </c>
      <c r="M451" s="26">
        <v>0.70550000000000002</v>
      </c>
      <c r="N451" s="26">
        <f t="shared" si="755"/>
        <v>10.5825</v>
      </c>
      <c r="O451" s="24">
        <f t="shared" si="756"/>
        <v>982.01367000000005</v>
      </c>
      <c r="P451" s="27">
        <f t="shared" si="757"/>
        <v>150.46757800000003</v>
      </c>
      <c r="Q451" s="24">
        <f t="shared" si="758"/>
        <v>2257.0136700000003</v>
      </c>
      <c r="R451" s="123"/>
    </row>
    <row r="452" spans="1:18" ht="29" x14ac:dyDescent="0.35">
      <c r="A452" s="71" t="str">
        <f>IF(TRIM(G452)&lt;&gt;"",COUNTA(G$11:$G452)&amp;"","")</f>
        <v>266</v>
      </c>
      <c r="B452" s="304"/>
      <c r="C452" s="304"/>
      <c r="D452" s="249"/>
      <c r="E452" s="69" t="s">
        <v>318</v>
      </c>
      <c r="F452" s="246">
        <v>10</v>
      </c>
      <c r="G452" s="74" t="s">
        <v>192</v>
      </c>
      <c r="H452" s="22">
        <v>0</v>
      </c>
      <c r="I452" s="51">
        <f t="shared" si="751"/>
        <v>10</v>
      </c>
      <c r="J452" s="23">
        <v>110</v>
      </c>
      <c r="K452" s="24">
        <f t="shared" si="753"/>
        <v>1100</v>
      </c>
      <c r="L452" s="25">
        <f t="shared" si="759"/>
        <v>92.796000000000006</v>
      </c>
      <c r="M452" s="26">
        <v>0.91300000000000003</v>
      </c>
      <c r="N452" s="26">
        <f t="shared" si="755"/>
        <v>9.1300000000000008</v>
      </c>
      <c r="O452" s="24">
        <f t="shared" si="756"/>
        <v>847.22748000000013</v>
      </c>
      <c r="P452" s="27">
        <f t="shared" si="757"/>
        <v>194.722748</v>
      </c>
      <c r="Q452" s="24">
        <f t="shared" si="758"/>
        <v>1947.22748</v>
      </c>
      <c r="R452" s="123"/>
    </row>
    <row r="453" spans="1:18" ht="29" x14ac:dyDescent="0.35">
      <c r="A453" s="71" t="str">
        <f>IF(TRIM(G453)&lt;&gt;"",COUNTA(G$11:$G453)&amp;"","")</f>
        <v>267</v>
      </c>
      <c r="B453" s="304"/>
      <c r="C453" s="304"/>
      <c r="D453" s="249"/>
      <c r="E453" s="69" t="s">
        <v>319</v>
      </c>
      <c r="F453" s="246">
        <v>20</v>
      </c>
      <c r="G453" s="74" t="s">
        <v>192</v>
      </c>
      <c r="H453" s="22">
        <v>0</v>
      </c>
      <c r="I453" s="51">
        <f t="shared" si="751"/>
        <v>20</v>
      </c>
      <c r="J453" s="23">
        <v>90</v>
      </c>
      <c r="K453" s="24">
        <f t="shared" si="753"/>
        <v>1800</v>
      </c>
      <c r="L453" s="25">
        <f t="shared" si="759"/>
        <v>92.796000000000006</v>
      </c>
      <c r="M453" s="26">
        <v>0.747</v>
      </c>
      <c r="N453" s="26">
        <f t="shared" si="755"/>
        <v>14.94</v>
      </c>
      <c r="O453" s="24">
        <f t="shared" si="756"/>
        <v>1386.3722400000001</v>
      </c>
      <c r="P453" s="27">
        <f t="shared" si="757"/>
        <v>159.318612</v>
      </c>
      <c r="Q453" s="24">
        <f t="shared" si="758"/>
        <v>3186.3722400000001</v>
      </c>
      <c r="R453" s="123"/>
    </row>
    <row r="454" spans="1:18" ht="29" x14ac:dyDescent="0.35">
      <c r="A454" s="71" t="str">
        <f>IF(TRIM(G454)&lt;&gt;"",COUNTA(G$11:$G454)&amp;"","")</f>
        <v>268</v>
      </c>
      <c r="B454" s="304"/>
      <c r="C454" s="304"/>
      <c r="D454" s="249"/>
      <c r="E454" s="69" t="s">
        <v>320</v>
      </c>
      <c r="F454" s="246">
        <v>5</v>
      </c>
      <c r="G454" s="74" t="s">
        <v>192</v>
      </c>
      <c r="H454" s="22">
        <v>0</v>
      </c>
      <c r="I454" s="51">
        <f t="shared" si="751"/>
        <v>5</v>
      </c>
      <c r="J454" s="23">
        <v>120</v>
      </c>
      <c r="K454" s="24">
        <f t="shared" si="753"/>
        <v>600</v>
      </c>
      <c r="L454" s="25">
        <f t="shared" si="759"/>
        <v>92.796000000000006</v>
      </c>
      <c r="M454" s="26">
        <v>0.996</v>
      </c>
      <c r="N454" s="26">
        <f t="shared" si="755"/>
        <v>4.9800000000000004</v>
      </c>
      <c r="O454" s="24">
        <f t="shared" si="756"/>
        <v>462.12408000000005</v>
      </c>
      <c r="P454" s="27">
        <f t="shared" si="757"/>
        <v>212.42481600000002</v>
      </c>
      <c r="Q454" s="24">
        <f t="shared" si="758"/>
        <v>1062.12408</v>
      </c>
      <c r="R454" s="123"/>
    </row>
    <row r="455" spans="1:18" ht="29" x14ac:dyDescent="0.35">
      <c r="A455" s="71" t="str">
        <f>IF(TRIM(G455)&lt;&gt;"",COUNTA(G$11:$G455)&amp;"","")</f>
        <v>269</v>
      </c>
      <c r="B455" s="304"/>
      <c r="C455" s="304"/>
      <c r="D455" s="249"/>
      <c r="E455" s="69" t="s">
        <v>321</v>
      </c>
      <c r="F455" s="246">
        <v>10</v>
      </c>
      <c r="G455" s="74" t="s">
        <v>192</v>
      </c>
      <c r="H455" s="22">
        <v>0</v>
      </c>
      <c r="I455" s="51">
        <f t="shared" si="751"/>
        <v>10</v>
      </c>
      <c r="J455" s="23">
        <v>150</v>
      </c>
      <c r="K455" s="24">
        <f t="shared" si="753"/>
        <v>1500</v>
      </c>
      <c r="L455" s="25">
        <f t="shared" si="759"/>
        <v>92.796000000000006</v>
      </c>
      <c r="M455" s="26">
        <v>1.2450000000000001</v>
      </c>
      <c r="N455" s="26">
        <f t="shared" si="755"/>
        <v>12.450000000000001</v>
      </c>
      <c r="O455" s="24">
        <f t="shared" si="756"/>
        <v>1155.3102000000001</v>
      </c>
      <c r="P455" s="27">
        <f t="shared" si="757"/>
        <v>265.53102000000001</v>
      </c>
      <c r="Q455" s="24">
        <f t="shared" si="758"/>
        <v>2655.3101999999999</v>
      </c>
      <c r="R455" s="123"/>
    </row>
    <row r="456" spans="1:18" ht="29" x14ac:dyDescent="0.35">
      <c r="A456" s="71" t="str">
        <f>IF(TRIM(G456)&lt;&gt;"",COUNTA(G$11:$G456)&amp;"","")</f>
        <v>270</v>
      </c>
      <c r="B456" s="304"/>
      <c r="C456" s="304"/>
      <c r="D456" s="249"/>
      <c r="E456" s="69" t="s">
        <v>322</v>
      </c>
      <c r="F456" s="246">
        <v>1</v>
      </c>
      <c r="G456" s="74" t="s">
        <v>192</v>
      </c>
      <c r="H456" s="22">
        <v>0</v>
      </c>
      <c r="I456" s="51">
        <f t="shared" si="751"/>
        <v>1</v>
      </c>
      <c r="J456" s="23">
        <v>165</v>
      </c>
      <c r="K456" s="24">
        <f t="shared" si="753"/>
        <v>165</v>
      </c>
      <c r="L456" s="25">
        <f t="shared" si="759"/>
        <v>92.796000000000006</v>
      </c>
      <c r="M456" s="26">
        <v>1.3694999999999999</v>
      </c>
      <c r="N456" s="26">
        <f t="shared" si="755"/>
        <v>1.3694999999999999</v>
      </c>
      <c r="O456" s="24">
        <f t="shared" si="756"/>
        <v>127.08412200000001</v>
      </c>
      <c r="P456" s="27">
        <f t="shared" si="757"/>
        <v>292.08412199999998</v>
      </c>
      <c r="Q456" s="24">
        <f t="shared" si="758"/>
        <v>292.08412199999998</v>
      </c>
      <c r="R456" s="123"/>
    </row>
    <row r="457" spans="1:18" x14ac:dyDescent="0.35">
      <c r="A457" s="71" t="str">
        <f>IF(TRIM(G457)&lt;&gt;"",COUNTA(G$11:$G457)&amp;"","")</f>
        <v/>
      </c>
      <c r="B457" s="304"/>
      <c r="C457" s="304"/>
      <c r="D457" s="249"/>
      <c r="E457" s="226"/>
      <c r="F457" s="246"/>
      <c r="G457" s="74"/>
      <c r="H457" s="22">
        <v>0</v>
      </c>
      <c r="I457" s="51" t="str">
        <f t="shared" si="751"/>
        <v/>
      </c>
      <c r="J457" s="23"/>
      <c r="K457" s="24" t="str">
        <f t="shared" si="753"/>
        <v/>
      </c>
      <c r="L457" s="25" t="str">
        <f t="shared" ref="L457:L492" si="760">IF(F457=0,"",L$400)</f>
        <v/>
      </c>
      <c r="M457" s="26" t="str">
        <f t="shared" si="754"/>
        <v/>
      </c>
      <c r="N457" s="26" t="str">
        <f t="shared" si="755"/>
        <v/>
      </c>
      <c r="O457" s="24" t="str">
        <f t="shared" si="756"/>
        <v/>
      </c>
      <c r="P457" s="27" t="str">
        <f t="shared" si="757"/>
        <v/>
      </c>
      <c r="Q457" s="24" t="str">
        <f t="shared" si="758"/>
        <v/>
      </c>
      <c r="R457" s="123"/>
    </row>
    <row r="458" spans="1:18" x14ac:dyDescent="0.35">
      <c r="A458" s="71" t="str">
        <f>IF(TRIM(G458)&lt;&gt;"",COUNTA(G$11:$G458)&amp;"","")</f>
        <v/>
      </c>
      <c r="B458" s="304"/>
      <c r="C458" s="304"/>
      <c r="D458" s="249"/>
      <c r="E458" s="247" t="s">
        <v>323</v>
      </c>
      <c r="F458" s="246"/>
      <c r="G458" s="74"/>
      <c r="H458" s="22">
        <v>0</v>
      </c>
      <c r="I458" s="51" t="str">
        <f t="shared" si="751"/>
        <v/>
      </c>
      <c r="J458" s="23"/>
      <c r="K458" s="24" t="str">
        <f t="shared" si="753"/>
        <v/>
      </c>
      <c r="L458" s="25" t="str">
        <f t="shared" si="760"/>
        <v/>
      </c>
      <c r="M458" s="26" t="str">
        <f t="shared" si="754"/>
        <v/>
      </c>
      <c r="N458" s="26" t="str">
        <f t="shared" si="755"/>
        <v/>
      </c>
      <c r="O458" s="24" t="str">
        <f t="shared" si="756"/>
        <v/>
      </c>
      <c r="P458" s="27" t="str">
        <f t="shared" si="757"/>
        <v/>
      </c>
      <c r="Q458" s="24" t="str">
        <f t="shared" si="758"/>
        <v/>
      </c>
      <c r="R458" s="123"/>
    </row>
    <row r="459" spans="1:18" x14ac:dyDescent="0.35">
      <c r="A459" s="71" t="str">
        <f>IF(TRIM(G459)&lt;&gt;"",COUNTA(G$11:$G459)&amp;"","")</f>
        <v>271</v>
      </c>
      <c r="B459" s="304"/>
      <c r="C459" s="304"/>
      <c r="D459" s="249"/>
      <c r="E459" s="64" t="s">
        <v>324</v>
      </c>
      <c r="F459" s="246">
        <v>87</v>
      </c>
      <c r="G459" s="74" t="s">
        <v>192</v>
      </c>
      <c r="H459" s="22">
        <v>0</v>
      </c>
      <c r="I459" s="51">
        <f t="shared" si="751"/>
        <v>87</v>
      </c>
      <c r="J459" s="23">
        <v>28</v>
      </c>
      <c r="K459" s="24">
        <f t="shared" si="753"/>
        <v>2436</v>
      </c>
      <c r="L459" s="25">
        <f t="shared" ref="L459:L465" si="761">$L$444</f>
        <v>92.796000000000006</v>
      </c>
      <c r="M459" s="26">
        <v>0.252</v>
      </c>
      <c r="N459" s="26">
        <f t="shared" si="755"/>
        <v>21.923999999999999</v>
      </c>
      <c r="O459" s="24">
        <f t="shared" si="756"/>
        <v>2034.4595040000002</v>
      </c>
      <c r="P459" s="27">
        <f t="shared" si="757"/>
        <v>51.384592000000005</v>
      </c>
      <c r="Q459" s="24">
        <f t="shared" si="758"/>
        <v>4470.4595040000004</v>
      </c>
      <c r="R459" s="123"/>
    </row>
    <row r="460" spans="1:18" x14ac:dyDescent="0.35">
      <c r="A460" s="71" t="str">
        <f>IF(TRIM(G460)&lt;&gt;"",COUNTA(G$11:$G460)&amp;"","")</f>
        <v>272</v>
      </c>
      <c r="B460" s="304"/>
      <c r="C460" s="304"/>
      <c r="D460" s="249"/>
      <c r="E460" s="64" t="s">
        <v>325</v>
      </c>
      <c r="F460" s="246">
        <v>152</v>
      </c>
      <c r="G460" s="74" t="s">
        <v>192</v>
      </c>
      <c r="H460" s="22">
        <v>0</v>
      </c>
      <c r="I460" s="51">
        <f t="shared" si="751"/>
        <v>152</v>
      </c>
      <c r="J460" s="23">
        <v>6.5</v>
      </c>
      <c r="K460" s="24">
        <f t="shared" si="753"/>
        <v>988</v>
      </c>
      <c r="L460" s="25">
        <f t="shared" si="761"/>
        <v>92.796000000000006</v>
      </c>
      <c r="M460" s="26">
        <v>0.21199999999999999</v>
      </c>
      <c r="N460" s="26">
        <f t="shared" si="755"/>
        <v>32.223999999999997</v>
      </c>
      <c r="O460" s="24">
        <f t="shared" si="756"/>
        <v>2990.258304</v>
      </c>
      <c r="P460" s="27">
        <f t="shared" si="757"/>
        <v>26.172751999999999</v>
      </c>
      <c r="Q460" s="24">
        <f t="shared" si="758"/>
        <v>3978.258304</v>
      </c>
      <c r="R460" s="123"/>
    </row>
    <row r="461" spans="1:18" x14ac:dyDescent="0.35">
      <c r="A461" s="71" t="str">
        <f>IF(TRIM(G461)&lt;&gt;"",COUNTA(G$11:$G461)&amp;"","")</f>
        <v>273</v>
      </c>
      <c r="B461" s="304"/>
      <c r="C461" s="304"/>
      <c r="D461" s="249"/>
      <c r="E461" s="226" t="s">
        <v>326</v>
      </c>
      <c r="F461" s="246">
        <v>5</v>
      </c>
      <c r="G461" s="74" t="s">
        <v>192</v>
      </c>
      <c r="H461" s="22">
        <v>0</v>
      </c>
      <c r="I461" s="51">
        <f t="shared" si="751"/>
        <v>5</v>
      </c>
      <c r="J461" s="23">
        <v>22</v>
      </c>
      <c r="K461" s="24">
        <f t="shared" si="753"/>
        <v>110</v>
      </c>
      <c r="L461" s="25">
        <f t="shared" si="761"/>
        <v>92.796000000000006</v>
      </c>
      <c r="M461" s="26">
        <v>0.252</v>
      </c>
      <c r="N461" s="26">
        <f t="shared" si="755"/>
        <v>1.26</v>
      </c>
      <c r="O461" s="24">
        <f t="shared" si="756"/>
        <v>116.92296</v>
      </c>
      <c r="P461" s="27">
        <f t="shared" si="757"/>
        <v>45.384591999999998</v>
      </c>
      <c r="Q461" s="24">
        <f t="shared" si="758"/>
        <v>226.92295999999999</v>
      </c>
      <c r="R461" s="123"/>
    </row>
    <row r="462" spans="1:18" x14ac:dyDescent="0.35">
      <c r="A462" s="71" t="str">
        <f>IF(TRIM(G462)&lt;&gt;"",COUNTA(G$11:$G462)&amp;"","")</f>
        <v>274</v>
      </c>
      <c r="B462" s="304"/>
      <c r="C462" s="304"/>
      <c r="D462" s="249"/>
      <c r="E462" s="226" t="s">
        <v>327</v>
      </c>
      <c r="F462" s="246">
        <v>5</v>
      </c>
      <c r="G462" s="74" t="s">
        <v>192</v>
      </c>
      <c r="H462" s="22">
        <v>0</v>
      </c>
      <c r="I462" s="51">
        <f t="shared" si="751"/>
        <v>5</v>
      </c>
      <c r="J462" s="23">
        <v>48</v>
      </c>
      <c r="K462" s="24">
        <f t="shared" si="753"/>
        <v>240</v>
      </c>
      <c r="L462" s="25">
        <f t="shared" si="761"/>
        <v>92.796000000000006</v>
      </c>
      <c r="M462" s="26">
        <v>0.35</v>
      </c>
      <c r="N462" s="26">
        <f t="shared" si="755"/>
        <v>1.75</v>
      </c>
      <c r="O462" s="24">
        <f t="shared" si="756"/>
        <v>162.393</v>
      </c>
      <c r="P462" s="27">
        <f t="shared" si="757"/>
        <v>80.4786</v>
      </c>
      <c r="Q462" s="24">
        <f t="shared" si="758"/>
        <v>402.39300000000003</v>
      </c>
      <c r="R462" s="123"/>
    </row>
    <row r="463" spans="1:18" x14ac:dyDescent="0.35">
      <c r="A463" s="71" t="str">
        <f>IF(TRIM(G463)&lt;&gt;"",COUNTA(G$11:$G463)&amp;"","")</f>
        <v>275</v>
      </c>
      <c r="B463" s="304"/>
      <c r="C463" s="304"/>
      <c r="D463" s="249"/>
      <c r="E463" s="226" t="s">
        <v>328</v>
      </c>
      <c r="F463" s="246">
        <v>5</v>
      </c>
      <c r="G463" s="74" t="s">
        <v>192</v>
      </c>
      <c r="H463" s="22">
        <v>0</v>
      </c>
      <c r="I463" s="51">
        <f t="shared" si="751"/>
        <v>5</v>
      </c>
      <c r="J463" s="23">
        <v>36</v>
      </c>
      <c r="K463" s="24">
        <f t="shared" si="753"/>
        <v>180</v>
      </c>
      <c r="L463" s="25">
        <f t="shared" si="761"/>
        <v>92.796000000000006</v>
      </c>
      <c r="M463" s="26">
        <v>0.35</v>
      </c>
      <c r="N463" s="26">
        <f t="shared" si="755"/>
        <v>1.75</v>
      </c>
      <c r="O463" s="24">
        <f t="shared" si="756"/>
        <v>162.393</v>
      </c>
      <c r="P463" s="27">
        <f t="shared" si="757"/>
        <v>68.4786</v>
      </c>
      <c r="Q463" s="24">
        <f t="shared" si="758"/>
        <v>342.39300000000003</v>
      </c>
      <c r="R463" s="123"/>
    </row>
    <row r="464" spans="1:18" x14ac:dyDescent="0.35">
      <c r="A464" s="71" t="str">
        <f>IF(TRIM(G464)&lt;&gt;"",COUNTA(G$11:$G464)&amp;"","")</f>
        <v>276</v>
      </c>
      <c r="B464" s="304"/>
      <c r="C464" s="304"/>
      <c r="D464" s="249"/>
      <c r="E464" s="226" t="s">
        <v>329</v>
      </c>
      <c r="F464" s="246">
        <v>5</v>
      </c>
      <c r="G464" s="74" t="s">
        <v>192</v>
      </c>
      <c r="H464" s="22">
        <v>0</v>
      </c>
      <c r="I464" s="51">
        <f t="shared" si="751"/>
        <v>5</v>
      </c>
      <c r="J464" s="23">
        <v>28</v>
      </c>
      <c r="K464" s="24">
        <f t="shared" si="753"/>
        <v>140</v>
      </c>
      <c r="L464" s="25">
        <f t="shared" si="761"/>
        <v>92.796000000000006</v>
      </c>
      <c r="M464" s="26">
        <v>0.28199999999999997</v>
      </c>
      <c r="N464" s="26">
        <f t="shared" si="755"/>
        <v>1.41</v>
      </c>
      <c r="O464" s="24">
        <f t="shared" si="756"/>
        <v>130.84236000000001</v>
      </c>
      <c r="P464" s="27">
        <f t="shared" si="757"/>
        <v>54.168471999999994</v>
      </c>
      <c r="Q464" s="24">
        <f t="shared" si="758"/>
        <v>270.84235999999999</v>
      </c>
      <c r="R464" s="123"/>
    </row>
    <row r="465" spans="1:18" x14ac:dyDescent="0.35">
      <c r="A465" s="71" t="str">
        <f>IF(TRIM(G465)&lt;&gt;"",COUNTA(G$11:$G465)&amp;"","")</f>
        <v>277</v>
      </c>
      <c r="B465" s="304"/>
      <c r="C465" s="304"/>
      <c r="D465" s="249"/>
      <c r="E465" s="250" t="s">
        <v>642</v>
      </c>
      <c r="F465" s="246">
        <v>15</v>
      </c>
      <c r="G465" s="74" t="s">
        <v>192</v>
      </c>
      <c r="H465" s="22">
        <v>0</v>
      </c>
      <c r="I465" s="51">
        <f t="shared" si="751"/>
        <v>15</v>
      </c>
      <c r="J465" s="23">
        <v>32</v>
      </c>
      <c r="K465" s="24">
        <f t="shared" si="753"/>
        <v>480</v>
      </c>
      <c r="L465" s="25">
        <f t="shared" si="761"/>
        <v>92.796000000000006</v>
      </c>
      <c r="M465" s="26">
        <v>0.35</v>
      </c>
      <c r="N465" s="26">
        <f t="shared" si="755"/>
        <v>5.25</v>
      </c>
      <c r="O465" s="24">
        <f t="shared" si="756"/>
        <v>487.17900000000003</v>
      </c>
      <c r="P465" s="27">
        <f t="shared" si="757"/>
        <v>64.4786</v>
      </c>
      <c r="Q465" s="24">
        <f t="shared" si="758"/>
        <v>967.17899999999997</v>
      </c>
      <c r="R465" s="123"/>
    </row>
    <row r="466" spans="1:18" x14ac:dyDescent="0.35">
      <c r="A466" s="71" t="str">
        <f>IF(TRIM(G466)&lt;&gt;"",COUNTA(G$11:$G466)&amp;"","")</f>
        <v/>
      </c>
      <c r="B466" s="304"/>
      <c r="C466" s="304"/>
      <c r="D466" s="249"/>
      <c r="E466" s="250"/>
      <c r="F466" s="246"/>
      <c r="G466" s="74"/>
      <c r="H466" s="22">
        <v>0</v>
      </c>
      <c r="I466" s="51" t="str">
        <f t="shared" si="751"/>
        <v/>
      </c>
      <c r="J466" s="23"/>
      <c r="K466" s="24" t="str">
        <f t="shared" si="753"/>
        <v/>
      </c>
      <c r="L466" s="25" t="str">
        <f t="shared" si="760"/>
        <v/>
      </c>
      <c r="M466" s="26" t="str">
        <f t="shared" si="754"/>
        <v/>
      </c>
      <c r="N466" s="26" t="str">
        <f t="shared" si="755"/>
        <v/>
      </c>
      <c r="O466" s="24" t="str">
        <f t="shared" si="756"/>
        <v/>
      </c>
      <c r="P466" s="27" t="str">
        <f t="shared" si="757"/>
        <v/>
      </c>
      <c r="Q466" s="24" t="str">
        <f t="shared" si="758"/>
        <v/>
      </c>
      <c r="R466" s="123"/>
    </row>
    <row r="467" spans="1:18" x14ac:dyDescent="0.35">
      <c r="A467" s="71" t="str">
        <f>IF(TRIM(G467)&lt;&gt;"",COUNTA(G$11:$G467)&amp;"","")</f>
        <v/>
      </c>
      <c r="B467" s="304"/>
      <c r="C467" s="304"/>
      <c r="D467" s="249"/>
      <c r="E467" s="247" t="s">
        <v>330</v>
      </c>
      <c r="F467" s="246"/>
      <c r="G467" s="74"/>
      <c r="H467" s="22">
        <v>0</v>
      </c>
      <c r="I467" s="51" t="str">
        <f t="shared" si="751"/>
        <v/>
      </c>
      <c r="J467" s="23"/>
      <c r="K467" s="24" t="str">
        <f t="shared" si="753"/>
        <v/>
      </c>
      <c r="L467" s="25" t="str">
        <f t="shared" si="760"/>
        <v/>
      </c>
      <c r="M467" s="26" t="str">
        <f t="shared" si="754"/>
        <v/>
      </c>
      <c r="N467" s="26" t="str">
        <f t="shared" si="755"/>
        <v/>
      </c>
      <c r="O467" s="24" t="str">
        <f t="shared" si="756"/>
        <v/>
      </c>
      <c r="P467" s="27" t="str">
        <f t="shared" si="757"/>
        <v/>
      </c>
      <c r="Q467" s="24" t="str">
        <f t="shared" si="758"/>
        <v/>
      </c>
      <c r="R467" s="123"/>
    </row>
    <row r="468" spans="1:18" x14ac:dyDescent="0.35">
      <c r="A468" s="71" t="str">
        <f>IF(TRIM(G468)&lt;&gt;"",COUNTA(G$11:$G468)&amp;"","")</f>
        <v>278</v>
      </c>
      <c r="B468" s="304"/>
      <c r="C468" s="304"/>
      <c r="D468" s="249"/>
      <c r="E468" s="250" t="s">
        <v>331</v>
      </c>
      <c r="F468" s="246">
        <v>77</v>
      </c>
      <c r="G468" s="74" t="s">
        <v>192</v>
      </c>
      <c r="H468" s="22">
        <v>0</v>
      </c>
      <c r="I468" s="51">
        <f t="shared" si="751"/>
        <v>77</v>
      </c>
      <c r="J468" s="23">
        <v>5</v>
      </c>
      <c r="K468" s="24">
        <f t="shared" si="753"/>
        <v>385</v>
      </c>
      <c r="L468" s="25">
        <f t="shared" ref="L468:L472" si="762">$L$444</f>
        <v>92.796000000000006</v>
      </c>
      <c r="M468" s="26">
        <v>0.21199999999999999</v>
      </c>
      <c r="N468" s="26">
        <f t="shared" si="755"/>
        <v>16.323999999999998</v>
      </c>
      <c r="O468" s="24">
        <f t="shared" si="756"/>
        <v>1514.8019039999999</v>
      </c>
      <c r="P468" s="27">
        <f t="shared" si="757"/>
        <v>24.672751999999999</v>
      </c>
      <c r="Q468" s="24">
        <f t="shared" si="758"/>
        <v>1899.8019039999999</v>
      </c>
      <c r="R468" s="123"/>
    </row>
    <row r="469" spans="1:18" x14ac:dyDescent="0.35">
      <c r="A469" s="71" t="str">
        <f>IF(TRIM(G469)&lt;&gt;"",COUNTA(G$11:$G469)&amp;"","")</f>
        <v>279</v>
      </c>
      <c r="B469" s="304"/>
      <c r="C469" s="304"/>
      <c r="D469" s="249"/>
      <c r="E469" s="250" t="s">
        <v>332</v>
      </c>
      <c r="F469" s="246">
        <v>49</v>
      </c>
      <c r="G469" s="74" t="s">
        <v>192</v>
      </c>
      <c r="H469" s="22">
        <v>0</v>
      </c>
      <c r="I469" s="51">
        <f t="shared" si="751"/>
        <v>49</v>
      </c>
      <c r="J469" s="23">
        <v>8</v>
      </c>
      <c r="K469" s="24">
        <f t="shared" si="753"/>
        <v>392</v>
      </c>
      <c r="L469" s="25">
        <f t="shared" si="762"/>
        <v>92.796000000000006</v>
      </c>
      <c r="M469" s="26">
        <v>0.21199999999999999</v>
      </c>
      <c r="N469" s="26">
        <f t="shared" si="755"/>
        <v>10.388</v>
      </c>
      <c r="O469" s="24">
        <f t="shared" si="756"/>
        <v>963.96484800000007</v>
      </c>
      <c r="P469" s="27">
        <f t="shared" si="757"/>
        <v>27.672752000000003</v>
      </c>
      <c r="Q469" s="24">
        <f t="shared" si="758"/>
        <v>1355.9648480000001</v>
      </c>
      <c r="R469" s="123"/>
    </row>
    <row r="470" spans="1:18" x14ac:dyDescent="0.35">
      <c r="A470" s="71" t="str">
        <f>IF(TRIM(G470)&lt;&gt;"",COUNTA(G$11:$G470)&amp;"","")</f>
        <v>280</v>
      </c>
      <c r="B470" s="304"/>
      <c r="C470" s="304"/>
      <c r="D470" s="249"/>
      <c r="E470" s="250" t="s">
        <v>333</v>
      </c>
      <c r="F470" s="246">
        <v>3</v>
      </c>
      <c r="G470" s="74" t="s">
        <v>192</v>
      </c>
      <c r="H470" s="22">
        <v>0</v>
      </c>
      <c r="I470" s="51">
        <f t="shared" si="751"/>
        <v>3</v>
      </c>
      <c r="J470" s="23">
        <v>9.5</v>
      </c>
      <c r="K470" s="24">
        <f t="shared" si="753"/>
        <v>28.5</v>
      </c>
      <c r="L470" s="25">
        <f t="shared" si="762"/>
        <v>92.796000000000006</v>
      </c>
      <c r="M470" s="26">
        <v>0.25</v>
      </c>
      <c r="N470" s="26">
        <f t="shared" si="755"/>
        <v>0.75</v>
      </c>
      <c r="O470" s="24">
        <f t="shared" si="756"/>
        <v>69.597000000000008</v>
      </c>
      <c r="P470" s="27">
        <f t="shared" si="757"/>
        <v>32.699000000000005</v>
      </c>
      <c r="Q470" s="24">
        <f t="shared" si="758"/>
        <v>98.097000000000008</v>
      </c>
      <c r="R470" s="123"/>
    </row>
    <row r="471" spans="1:18" x14ac:dyDescent="0.35">
      <c r="A471" s="71" t="str">
        <f>IF(TRIM(G471)&lt;&gt;"",COUNTA(G$11:$G471)&amp;"","")</f>
        <v>281</v>
      </c>
      <c r="B471" s="304"/>
      <c r="C471" s="304"/>
      <c r="D471" s="249"/>
      <c r="E471" s="226" t="s">
        <v>334</v>
      </c>
      <c r="F471" s="246">
        <v>1</v>
      </c>
      <c r="G471" s="74" t="s">
        <v>192</v>
      </c>
      <c r="H471" s="22">
        <v>0</v>
      </c>
      <c r="I471" s="51">
        <f t="shared" si="751"/>
        <v>1</v>
      </c>
      <c r="J471" s="23">
        <v>65</v>
      </c>
      <c r="K471" s="24">
        <f t="shared" si="753"/>
        <v>65</v>
      </c>
      <c r="L471" s="25">
        <f t="shared" si="762"/>
        <v>92.796000000000006</v>
      </c>
      <c r="M471" s="26">
        <v>0.57999999999999996</v>
      </c>
      <c r="N471" s="26">
        <f t="shared" si="755"/>
        <v>0.57999999999999996</v>
      </c>
      <c r="O471" s="24">
        <f t="shared" si="756"/>
        <v>53.821680000000001</v>
      </c>
      <c r="P471" s="27">
        <f t="shared" si="757"/>
        <v>118.82168</v>
      </c>
      <c r="Q471" s="24">
        <f t="shared" si="758"/>
        <v>118.82168</v>
      </c>
      <c r="R471" s="123"/>
    </row>
    <row r="472" spans="1:18" x14ac:dyDescent="0.35">
      <c r="A472" s="71" t="str">
        <f>IF(TRIM(G472)&lt;&gt;"",COUNTA(G$11:$G472)&amp;"","")</f>
        <v>282</v>
      </c>
      <c r="B472" s="304"/>
      <c r="C472" s="304"/>
      <c r="D472" s="249"/>
      <c r="E472" s="250" t="s">
        <v>335</v>
      </c>
      <c r="F472" s="246">
        <v>1</v>
      </c>
      <c r="G472" s="74" t="s">
        <v>192</v>
      </c>
      <c r="H472" s="22">
        <v>0</v>
      </c>
      <c r="I472" s="51">
        <f t="shared" si="751"/>
        <v>1</v>
      </c>
      <c r="J472" s="23">
        <v>85</v>
      </c>
      <c r="K472" s="24">
        <f t="shared" si="753"/>
        <v>85</v>
      </c>
      <c r="L472" s="25">
        <f t="shared" si="762"/>
        <v>92.796000000000006</v>
      </c>
      <c r="M472" s="26">
        <v>0.75</v>
      </c>
      <c r="N472" s="26">
        <f t="shared" si="755"/>
        <v>0.75</v>
      </c>
      <c r="O472" s="24">
        <f t="shared" si="756"/>
        <v>69.597000000000008</v>
      </c>
      <c r="P472" s="27">
        <f t="shared" si="757"/>
        <v>154.59700000000001</v>
      </c>
      <c r="Q472" s="24">
        <f t="shared" si="758"/>
        <v>154.59700000000001</v>
      </c>
      <c r="R472" s="123"/>
    </row>
    <row r="473" spans="1:18" x14ac:dyDescent="0.35">
      <c r="A473" s="71" t="str">
        <f>IF(TRIM(G473)&lt;&gt;"",COUNTA(G$11:$G473)&amp;"","")</f>
        <v/>
      </c>
      <c r="B473" s="304"/>
      <c r="C473" s="304"/>
      <c r="D473" s="249"/>
      <c r="E473" s="250"/>
      <c r="F473" s="246"/>
      <c r="G473" s="74"/>
      <c r="H473" s="22"/>
      <c r="I473" s="51" t="str">
        <f t="shared" si="751"/>
        <v/>
      </c>
      <c r="J473" s="23"/>
      <c r="K473" s="24" t="str">
        <f t="shared" si="753"/>
        <v/>
      </c>
      <c r="L473" s="25" t="str">
        <f t="shared" si="760"/>
        <v/>
      </c>
      <c r="M473" s="26" t="str">
        <f t="shared" si="754"/>
        <v/>
      </c>
      <c r="N473" s="26" t="str">
        <f t="shared" si="755"/>
        <v/>
      </c>
      <c r="O473" s="24" t="str">
        <f t="shared" si="756"/>
        <v/>
      </c>
      <c r="P473" s="27" t="str">
        <f t="shared" si="757"/>
        <v/>
      </c>
      <c r="Q473" s="24" t="str">
        <f t="shared" si="758"/>
        <v/>
      </c>
      <c r="R473" s="123"/>
    </row>
    <row r="474" spans="1:18" x14ac:dyDescent="0.35">
      <c r="A474" s="71" t="str">
        <f>IF(TRIM(G474)&lt;&gt;"",COUNTA(G$11:$G474)&amp;"","")</f>
        <v/>
      </c>
      <c r="B474" s="304"/>
      <c r="C474" s="304"/>
      <c r="D474" s="249"/>
      <c r="E474" s="247" t="s">
        <v>336</v>
      </c>
      <c r="F474" s="246"/>
      <c r="G474" s="74"/>
      <c r="H474" s="22"/>
      <c r="I474" s="51" t="str">
        <f t="shared" si="751"/>
        <v/>
      </c>
      <c r="J474" s="23"/>
      <c r="K474" s="24" t="str">
        <f t="shared" si="753"/>
        <v/>
      </c>
      <c r="L474" s="25" t="str">
        <f t="shared" si="760"/>
        <v/>
      </c>
      <c r="M474" s="26" t="str">
        <f t="shared" si="754"/>
        <v/>
      </c>
      <c r="N474" s="26" t="str">
        <f t="shared" si="755"/>
        <v/>
      </c>
      <c r="O474" s="24" t="str">
        <f t="shared" si="756"/>
        <v/>
      </c>
      <c r="P474" s="27" t="str">
        <f t="shared" si="757"/>
        <v/>
      </c>
      <c r="Q474" s="24" t="str">
        <f t="shared" si="758"/>
        <v/>
      </c>
      <c r="R474" s="123"/>
    </row>
    <row r="475" spans="1:18" x14ac:dyDescent="0.35">
      <c r="A475" s="71" t="str">
        <f>IF(TRIM(G475)&lt;&gt;"",COUNTA(G$11:$G475)&amp;"","")</f>
        <v>283</v>
      </c>
      <c r="B475" s="304"/>
      <c r="C475" s="304"/>
      <c r="D475" s="249"/>
      <c r="E475" s="250" t="s">
        <v>337</v>
      </c>
      <c r="F475" s="246">
        <v>5</v>
      </c>
      <c r="G475" s="74" t="s">
        <v>192</v>
      </c>
      <c r="H475" s="22">
        <v>0</v>
      </c>
      <c r="I475" s="51">
        <f t="shared" si="751"/>
        <v>5</v>
      </c>
      <c r="J475" s="23">
        <v>18</v>
      </c>
      <c r="K475" s="24">
        <f t="shared" si="753"/>
        <v>90</v>
      </c>
      <c r="L475" s="25">
        <f t="shared" ref="L475:L485" si="763">$L$444</f>
        <v>92.796000000000006</v>
      </c>
      <c r="M475" s="26">
        <v>0.21199999999999999</v>
      </c>
      <c r="N475" s="26">
        <f t="shared" si="755"/>
        <v>1.06</v>
      </c>
      <c r="O475" s="24">
        <f t="shared" si="756"/>
        <v>98.363760000000013</v>
      </c>
      <c r="P475" s="27">
        <f t="shared" si="757"/>
        <v>37.672752000000003</v>
      </c>
      <c r="Q475" s="24">
        <f t="shared" si="758"/>
        <v>188.36376000000001</v>
      </c>
      <c r="R475" s="123"/>
    </row>
    <row r="476" spans="1:18" x14ac:dyDescent="0.35">
      <c r="A476" s="71" t="str">
        <f>IF(TRIM(G476)&lt;&gt;"",COUNTA(G$11:$G476)&amp;"","")</f>
        <v>284</v>
      </c>
      <c r="B476" s="304"/>
      <c r="C476" s="304"/>
      <c r="D476" s="249"/>
      <c r="E476" s="250" t="s">
        <v>338</v>
      </c>
      <c r="F476" s="246">
        <v>5</v>
      </c>
      <c r="G476" s="74" t="s">
        <v>192</v>
      </c>
      <c r="H476" s="22">
        <v>0</v>
      </c>
      <c r="I476" s="51">
        <f t="shared" si="751"/>
        <v>5</v>
      </c>
      <c r="J476" s="23">
        <v>95</v>
      </c>
      <c r="K476" s="24">
        <f t="shared" si="753"/>
        <v>475</v>
      </c>
      <c r="L476" s="25">
        <f t="shared" si="763"/>
        <v>92.796000000000006</v>
      </c>
      <c r="M476" s="26">
        <v>0.75</v>
      </c>
      <c r="N476" s="26">
        <f t="shared" si="755"/>
        <v>3.75</v>
      </c>
      <c r="O476" s="24">
        <f t="shared" si="756"/>
        <v>347.98500000000001</v>
      </c>
      <c r="P476" s="27">
        <f t="shared" si="757"/>
        <v>164.59700000000001</v>
      </c>
      <c r="Q476" s="24">
        <f t="shared" si="758"/>
        <v>822.98500000000001</v>
      </c>
      <c r="R476" s="123"/>
    </row>
    <row r="477" spans="1:18" x14ac:dyDescent="0.35">
      <c r="A477" s="71" t="str">
        <f>IF(TRIM(G477)&lt;&gt;"",COUNTA(G$11:$G477)&amp;"","")</f>
        <v>285</v>
      </c>
      <c r="B477" s="304"/>
      <c r="C477" s="304"/>
      <c r="D477" s="249"/>
      <c r="E477" s="250" t="s">
        <v>339</v>
      </c>
      <c r="F477" s="246">
        <v>5</v>
      </c>
      <c r="G477" s="74" t="s">
        <v>192</v>
      </c>
      <c r="H477" s="22">
        <v>0</v>
      </c>
      <c r="I477" s="51">
        <f t="shared" si="751"/>
        <v>5</v>
      </c>
      <c r="J477" s="23">
        <v>125</v>
      </c>
      <c r="K477" s="24">
        <f t="shared" si="753"/>
        <v>625</v>
      </c>
      <c r="L477" s="25">
        <f t="shared" si="763"/>
        <v>92.796000000000006</v>
      </c>
      <c r="M477" s="26">
        <v>1.1200000000000001</v>
      </c>
      <c r="N477" s="26">
        <f t="shared" si="755"/>
        <v>5.6000000000000005</v>
      </c>
      <c r="O477" s="24">
        <f t="shared" si="756"/>
        <v>519.65760000000012</v>
      </c>
      <c r="P477" s="27">
        <f t="shared" si="757"/>
        <v>228.93152000000001</v>
      </c>
      <c r="Q477" s="24">
        <f t="shared" si="758"/>
        <v>1144.6576</v>
      </c>
      <c r="R477" s="123"/>
    </row>
    <row r="478" spans="1:18" x14ac:dyDescent="0.35">
      <c r="A478" s="71" t="str">
        <f>IF(TRIM(G478)&lt;&gt;"",COUNTA(G$11:$G478)&amp;"","")</f>
        <v>286</v>
      </c>
      <c r="B478" s="304"/>
      <c r="C478" s="304"/>
      <c r="D478" s="249"/>
      <c r="E478" s="226" t="s">
        <v>340</v>
      </c>
      <c r="F478" s="246">
        <v>20</v>
      </c>
      <c r="G478" s="74" t="s">
        <v>192</v>
      </c>
      <c r="H478" s="22">
        <v>0</v>
      </c>
      <c r="I478" s="51">
        <f t="shared" si="751"/>
        <v>20</v>
      </c>
      <c r="J478" s="23">
        <v>12</v>
      </c>
      <c r="K478" s="24">
        <f t="shared" si="753"/>
        <v>240</v>
      </c>
      <c r="L478" s="25">
        <f t="shared" si="763"/>
        <v>92.796000000000006</v>
      </c>
      <c r="M478" s="26">
        <v>0.21199999999999999</v>
      </c>
      <c r="N478" s="26">
        <f t="shared" si="755"/>
        <v>4.24</v>
      </c>
      <c r="O478" s="24">
        <f t="shared" si="756"/>
        <v>393.45504000000005</v>
      </c>
      <c r="P478" s="27">
        <f t="shared" si="757"/>
        <v>31.672752000000003</v>
      </c>
      <c r="Q478" s="24">
        <f t="shared" si="758"/>
        <v>633.45504000000005</v>
      </c>
      <c r="R478" s="123"/>
    </row>
    <row r="479" spans="1:18" x14ac:dyDescent="0.35">
      <c r="A479" s="71" t="str">
        <f>IF(TRIM(G479)&lt;&gt;"",COUNTA(G$11:$G479)&amp;"","")</f>
        <v>287</v>
      </c>
      <c r="B479" s="304"/>
      <c r="C479" s="304"/>
      <c r="D479" s="249"/>
      <c r="E479" s="250" t="s">
        <v>341</v>
      </c>
      <c r="F479" s="246">
        <v>20</v>
      </c>
      <c r="G479" s="74" t="s">
        <v>192</v>
      </c>
      <c r="H479" s="22">
        <v>0</v>
      </c>
      <c r="I479" s="51">
        <f t="shared" si="751"/>
        <v>20</v>
      </c>
      <c r="J479" s="23">
        <v>38</v>
      </c>
      <c r="K479" s="24">
        <f t="shared" si="753"/>
        <v>760</v>
      </c>
      <c r="L479" s="25">
        <f t="shared" si="763"/>
        <v>92.796000000000006</v>
      </c>
      <c r="M479" s="26">
        <v>0.35</v>
      </c>
      <c r="N479" s="26">
        <f t="shared" si="755"/>
        <v>7</v>
      </c>
      <c r="O479" s="24">
        <f t="shared" si="756"/>
        <v>649.572</v>
      </c>
      <c r="P479" s="27">
        <f t="shared" si="757"/>
        <v>70.4786</v>
      </c>
      <c r="Q479" s="24">
        <f t="shared" si="758"/>
        <v>1409.5720000000001</v>
      </c>
      <c r="R479" s="123"/>
    </row>
    <row r="480" spans="1:18" x14ac:dyDescent="0.35">
      <c r="A480" s="71" t="str">
        <f>IF(TRIM(G480)&lt;&gt;"",COUNTA(G$11:$G480)&amp;"","")</f>
        <v>288</v>
      </c>
      <c r="B480" s="304"/>
      <c r="C480" s="304"/>
      <c r="D480" s="249"/>
      <c r="E480" s="250" t="s">
        <v>342</v>
      </c>
      <c r="F480" s="246">
        <v>25</v>
      </c>
      <c r="G480" s="74" t="s">
        <v>192</v>
      </c>
      <c r="H480" s="22">
        <v>0</v>
      </c>
      <c r="I480" s="51">
        <f t="shared" si="751"/>
        <v>25</v>
      </c>
      <c r="J480" s="23">
        <v>42</v>
      </c>
      <c r="K480" s="24">
        <f t="shared" si="753"/>
        <v>1050</v>
      </c>
      <c r="L480" s="25">
        <f t="shared" si="763"/>
        <v>92.796000000000006</v>
      </c>
      <c r="M480" s="26">
        <v>0.36</v>
      </c>
      <c r="N480" s="26">
        <f t="shared" si="755"/>
        <v>9</v>
      </c>
      <c r="O480" s="24">
        <f t="shared" si="756"/>
        <v>835.1640000000001</v>
      </c>
      <c r="P480" s="27">
        <f t="shared" si="757"/>
        <v>75.406560000000013</v>
      </c>
      <c r="Q480" s="24">
        <f t="shared" si="758"/>
        <v>1885.1640000000002</v>
      </c>
      <c r="R480" s="123"/>
    </row>
    <row r="481" spans="1:18" x14ac:dyDescent="0.35">
      <c r="A481" s="71" t="str">
        <f>IF(TRIM(G481)&lt;&gt;"",COUNTA(G$11:$G481)&amp;"","")</f>
        <v>289</v>
      </c>
      <c r="B481" s="304"/>
      <c r="C481" s="304"/>
      <c r="D481" s="249"/>
      <c r="E481" s="250" t="s">
        <v>343</v>
      </c>
      <c r="F481" s="246">
        <v>5</v>
      </c>
      <c r="G481" s="74" t="s">
        <v>192</v>
      </c>
      <c r="H481" s="22">
        <v>0</v>
      </c>
      <c r="I481" s="51">
        <f t="shared" si="751"/>
        <v>5</v>
      </c>
      <c r="J481" s="23">
        <v>28</v>
      </c>
      <c r="K481" s="24">
        <f t="shared" si="753"/>
        <v>140</v>
      </c>
      <c r="L481" s="25">
        <f t="shared" si="763"/>
        <v>92.796000000000006</v>
      </c>
      <c r="M481" s="26">
        <v>0.28199999999999997</v>
      </c>
      <c r="N481" s="26">
        <f t="shared" si="755"/>
        <v>1.41</v>
      </c>
      <c r="O481" s="24">
        <f t="shared" si="756"/>
        <v>130.84236000000001</v>
      </c>
      <c r="P481" s="27">
        <f t="shared" si="757"/>
        <v>54.168471999999994</v>
      </c>
      <c r="Q481" s="24">
        <f t="shared" si="758"/>
        <v>270.84235999999999</v>
      </c>
      <c r="R481" s="123"/>
    </row>
    <row r="482" spans="1:18" x14ac:dyDescent="0.35">
      <c r="A482" s="71" t="str">
        <f>IF(TRIM(G482)&lt;&gt;"",COUNTA(G$11:$G482)&amp;"","")</f>
        <v>290</v>
      </c>
      <c r="B482" s="304"/>
      <c r="C482" s="304"/>
      <c r="D482" s="249"/>
      <c r="E482" s="250" t="s">
        <v>344</v>
      </c>
      <c r="F482" s="246">
        <v>16</v>
      </c>
      <c r="G482" s="74" t="s">
        <v>192</v>
      </c>
      <c r="H482" s="22">
        <v>0</v>
      </c>
      <c r="I482" s="51">
        <f t="shared" si="751"/>
        <v>16</v>
      </c>
      <c r="J482" s="23">
        <v>32</v>
      </c>
      <c r="K482" s="24">
        <f t="shared" si="753"/>
        <v>512</v>
      </c>
      <c r="L482" s="25">
        <f t="shared" si="763"/>
        <v>92.796000000000006</v>
      </c>
      <c r="M482" s="26">
        <v>0.35</v>
      </c>
      <c r="N482" s="26">
        <f t="shared" si="755"/>
        <v>5.6</v>
      </c>
      <c r="O482" s="24">
        <f t="shared" si="756"/>
        <v>519.6576</v>
      </c>
      <c r="P482" s="27">
        <f t="shared" si="757"/>
        <v>64.4786</v>
      </c>
      <c r="Q482" s="24">
        <f t="shared" si="758"/>
        <v>1031.6576</v>
      </c>
      <c r="R482" s="123"/>
    </row>
    <row r="483" spans="1:18" x14ac:dyDescent="0.35">
      <c r="A483" s="71" t="str">
        <f>IF(TRIM(G483)&lt;&gt;"",COUNTA(G$11:$G483)&amp;"","")</f>
        <v>291</v>
      </c>
      <c r="B483" s="304"/>
      <c r="C483" s="304"/>
      <c r="D483" s="249"/>
      <c r="E483" s="250" t="s">
        <v>345</v>
      </c>
      <c r="F483" s="246">
        <v>1</v>
      </c>
      <c r="G483" s="74" t="s">
        <v>192</v>
      </c>
      <c r="H483" s="22">
        <v>0</v>
      </c>
      <c r="I483" s="51">
        <f t="shared" si="751"/>
        <v>1</v>
      </c>
      <c r="J483" s="23">
        <v>75</v>
      </c>
      <c r="K483" s="24">
        <f t="shared" si="753"/>
        <v>75</v>
      </c>
      <c r="L483" s="25">
        <f t="shared" si="763"/>
        <v>92.796000000000006</v>
      </c>
      <c r="M483" s="26">
        <v>0.65</v>
      </c>
      <c r="N483" s="26">
        <f t="shared" si="755"/>
        <v>0.65</v>
      </c>
      <c r="O483" s="24">
        <f t="shared" si="756"/>
        <v>60.317400000000006</v>
      </c>
      <c r="P483" s="27">
        <f t="shared" si="757"/>
        <v>135.31740000000002</v>
      </c>
      <c r="Q483" s="24">
        <f t="shared" si="758"/>
        <v>135.31740000000002</v>
      </c>
      <c r="R483" s="123"/>
    </row>
    <row r="484" spans="1:18" x14ac:dyDescent="0.35">
      <c r="A484" s="71" t="str">
        <f>IF(TRIM(G484)&lt;&gt;"",COUNTA(G$11:$G484)&amp;"","")</f>
        <v>292</v>
      </c>
      <c r="B484" s="304"/>
      <c r="C484" s="304"/>
      <c r="D484" s="249"/>
      <c r="E484" s="226" t="s">
        <v>346</v>
      </c>
      <c r="F484" s="246">
        <v>1</v>
      </c>
      <c r="G484" s="74" t="s">
        <v>192</v>
      </c>
      <c r="H484" s="22">
        <v>0</v>
      </c>
      <c r="I484" s="51">
        <f t="shared" si="751"/>
        <v>1</v>
      </c>
      <c r="J484" s="23">
        <v>85</v>
      </c>
      <c r="K484" s="24">
        <f t="shared" si="753"/>
        <v>85</v>
      </c>
      <c r="L484" s="25">
        <f t="shared" si="763"/>
        <v>92.796000000000006</v>
      </c>
      <c r="M484" s="26">
        <v>0.85</v>
      </c>
      <c r="N484" s="26">
        <f t="shared" si="755"/>
        <v>0.85</v>
      </c>
      <c r="O484" s="24">
        <f t="shared" si="756"/>
        <v>78.87660000000001</v>
      </c>
      <c r="P484" s="27">
        <f t="shared" si="757"/>
        <v>163.8766</v>
      </c>
      <c r="Q484" s="24">
        <f t="shared" si="758"/>
        <v>163.8766</v>
      </c>
      <c r="R484" s="123"/>
    </row>
    <row r="485" spans="1:18" x14ac:dyDescent="0.35">
      <c r="A485" s="71" t="str">
        <f>IF(TRIM(G485)&lt;&gt;"",COUNTA(G$11:$G485)&amp;"","")</f>
        <v>293</v>
      </c>
      <c r="B485" s="304"/>
      <c r="C485" s="304"/>
      <c r="D485" s="249"/>
      <c r="E485" s="69" t="s">
        <v>347</v>
      </c>
      <c r="F485" s="246">
        <v>1</v>
      </c>
      <c r="G485" s="74" t="s">
        <v>192</v>
      </c>
      <c r="H485" s="22">
        <v>0</v>
      </c>
      <c r="I485" s="51">
        <f t="shared" si="751"/>
        <v>1</v>
      </c>
      <c r="J485" s="23">
        <v>55</v>
      </c>
      <c r="K485" s="24">
        <f t="shared" si="753"/>
        <v>55</v>
      </c>
      <c r="L485" s="25">
        <f t="shared" si="763"/>
        <v>92.796000000000006</v>
      </c>
      <c r="M485" s="26">
        <v>0.45</v>
      </c>
      <c r="N485" s="26">
        <f t="shared" si="755"/>
        <v>0.45</v>
      </c>
      <c r="O485" s="24">
        <f t="shared" si="756"/>
        <v>41.758200000000002</v>
      </c>
      <c r="P485" s="27">
        <f t="shared" si="757"/>
        <v>96.758200000000002</v>
      </c>
      <c r="Q485" s="24">
        <f t="shared" si="758"/>
        <v>96.758200000000002</v>
      </c>
      <c r="R485" s="123"/>
    </row>
    <row r="486" spans="1:18" x14ac:dyDescent="0.35">
      <c r="A486" s="71" t="str">
        <f>IF(TRIM(G486)&lt;&gt;"",COUNTA(G$11:$G486)&amp;"","")</f>
        <v/>
      </c>
      <c r="B486" s="304"/>
      <c r="C486" s="304"/>
      <c r="D486" s="249"/>
      <c r="E486" s="69"/>
      <c r="F486" s="246"/>
      <c r="G486" s="74"/>
      <c r="H486" s="22"/>
      <c r="I486" s="51" t="str">
        <f t="shared" si="751"/>
        <v/>
      </c>
      <c r="J486" s="23"/>
      <c r="K486" s="24" t="str">
        <f t="shared" si="753"/>
        <v/>
      </c>
      <c r="L486" s="25" t="str">
        <f t="shared" si="760"/>
        <v/>
      </c>
      <c r="M486" s="26" t="str">
        <f t="shared" si="754"/>
        <v/>
      </c>
      <c r="N486" s="26" t="str">
        <f t="shared" si="755"/>
        <v/>
      </c>
      <c r="O486" s="24" t="str">
        <f t="shared" si="756"/>
        <v/>
      </c>
      <c r="P486" s="27" t="str">
        <f t="shared" si="757"/>
        <v/>
      </c>
      <c r="Q486" s="24" t="str">
        <f t="shared" si="758"/>
        <v/>
      </c>
      <c r="R486" s="123"/>
    </row>
    <row r="487" spans="1:18" x14ac:dyDescent="0.35">
      <c r="A487" s="71" t="str">
        <f>IF(TRIM(G487)&lt;&gt;"",COUNTA(G$11:$G487)&amp;"","")</f>
        <v/>
      </c>
      <c r="B487" s="304"/>
      <c r="C487" s="304"/>
      <c r="D487" s="249"/>
      <c r="E487" s="247" t="s">
        <v>348</v>
      </c>
      <c r="F487" s="246"/>
      <c r="G487" s="74"/>
      <c r="H487" s="22"/>
      <c r="I487" s="51" t="str">
        <f t="shared" si="751"/>
        <v/>
      </c>
      <c r="J487" s="23"/>
      <c r="K487" s="24" t="str">
        <f t="shared" si="753"/>
        <v/>
      </c>
      <c r="L487" s="25" t="str">
        <f t="shared" si="760"/>
        <v/>
      </c>
      <c r="M487" s="26" t="str">
        <f t="shared" si="754"/>
        <v/>
      </c>
      <c r="N487" s="26" t="str">
        <f t="shared" si="755"/>
        <v/>
      </c>
      <c r="O487" s="24" t="str">
        <f t="shared" si="756"/>
        <v/>
      </c>
      <c r="P487" s="27" t="str">
        <f t="shared" si="757"/>
        <v/>
      </c>
      <c r="Q487" s="24" t="str">
        <f t="shared" si="758"/>
        <v/>
      </c>
      <c r="R487" s="123"/>
    </row>
    <row r="488" spans="1:18" ht="87" x14ac:dyDescent="0.35">
      <c r="A488" s="71" t="str">
        <f>IF(TRIM(G488)&lt;&gt;"",COUNTA(G$11:$G488)&amp;"","")</f>
        <v>294</v>
      </c>
      <c r="B488" s="304"/>
      <c r="C488" s="304"/>
      <c r="D488" s="249"/>
      <c r="E488" s="69" t="s">
        <v>349</v>
      </c>
      <c r="F488" s="246">
        <v>5</v>
      </c>
      <c r="G488" s="74" t="s">
        <v>192</v>
      </c>
      <c r="H488" s="22">
        <v>0</v>
      </c>
      <c r="I488" s="51">
        <f t="shared" si="751"/>
        <v>5</v>
      </c>
      <c r="J488" s="23">
        <v>1650</v>
      </c>
      <c r="K488" s="24">
        <f t="shared" si="753"/>
        <v>8250</v>
      </c>
      <c r="L488" s="25">
        <f t="shared" ref="L488:L490" si="764">$L$444</f>
        <v>92.796000000000006</v>
      </c>
      <c r="M488" s="26">
        <v>5</v>
      </c>
      <c r="N488" s="26">
        <f t="shared" si="755"/>
        <v>25</v>
      </c>
      <c r="O488" s="24">
        <f t="shared" si="756"/>
        <v>2319.9</v>
      </c>
      <c r="P488" s="27">
        <f t="shared" si="757"/>
        <v>2113.98</v>
      </c>
      <c r="Q488" s="24">
        <f t="shared" si="758"/>
        <v>10569.9</v>
      </c>
      <c r="R488" s="123"/>
    </row>
    <row r="489" spans="1:18" ht="29" x14ac:dyDescent="0.35">
      <c r="A489" s="71" t="str">
        <f>IF(TRIM(G489)&lt;&gt;"",COUNTA(G$11:$G489)&amp;"","")</f>
        <v>295</v>
      </c>
      <c r="B489" s="304"/>
      <c r="C489" s="304"/>
      <c r="D489" s="249"/>
      <c r="E489" s="69" t="s">
        <v>350</v>
      </c>
      <c r="F489" s="246">
        <v>1</v>
      </c>
      <c r="G489" s="74" t="s">
        <v>192</v>
      </c>
      <c r="H489" s="22">
        <v>0</v>
      </c>
      <c r="I489" s="51">
        <f t="shared" si="751"/>
        <v>1</v>
      </c>
      <c r="J489" s="23">
        <v>950</v>
      </c>
      <c r="K489" s="24">
        <f t="shared" si="753"/>
        <v>950</v>
      </c>
      <c r="L489" s="25">
        <f t="shared" si="764"/>
        <v>92.796000000000006</v>
      </c>
      <c r="M489" s="26">
        <v>4</v>
      </c>
      <c r="N489" s="26">
        <f t="shared" si="755"/>
        <v>4</v>
      </c>
      <c r="O489" s="24">
        <f t="shared" si="756"/>
        <v>371.18400000000003</v>
      </c>
      <c r="P489" s="27">
        <f t="shared" si="757"/>
        <v>1321.184</v>
      </c>
      <c r="Q489" s="24">
        <f t="shared" si="758"/>
        <v>1321.184</v>
      </c>
      <c r="R489" s="123"/>
    </row>
    <row r="490" spans="1:18" x14ac:dyDescent="0.35">
      <c r="A490" s="71" t="str">
        <f>IF(TRIM(G490)&lt;&gt;"",COUNTA(G$11:$G490)&amp;"","")</f>
        <v>296</v>
      </c>
      <c r="B490" s="304"/>
      <c r="C490" s="304"/>
      <c r="D490" s="249"/>
      <c r="E490" s="69" t="s">
        <v>351</v>
      </c>
      <c r="F490" s="246">
        <v>1</v>
      </c>
      <c r="G490" s="74" t="s">
        <v>192</v>
      </c>
      <c r="H490" s="22">
        <v>0</v>
      </c>
      <c r="I490" s="51">
        <f t="shared" si="751"/>
        <v>1</v>
      </c>
      <c r="J490" s="23">
        <v>1850</v>
      </c>
      <c r="K490" s="24">
        <f t="shared" si="753"/>
        <v>1850</v>
      </c>
      <c r="L490" s="25">
        <f t="shared" si="764"/>
        <v>92.796000000000006</v>
      </c>
      <c r="M490" s="26">
        <v>4.5599999999999996</v>
      </c>
      <c r="N490" s="26">
        <f t="shared" si="755"/>
        <v>4.5599999999999996</v>
      </c>
      <c r="O490" s="24">
        <f t="shared" si="756"/>
        <v>423.14976000000001</v>
      </c>
      <c r="P490" s="27">
        <f t="shared" si="757"/>
        <v>2273.1497600000002</v>
      </c>
      <c r="Q490" s="24">
        <f t="shared" si="758"/>
        <v>2273.1497600000002</v>
      </c>
      <c r="R490" s="123"/>
    </row>
    <row r="491" spans="1:18" x14ac:dyDescent="0.35">
      <c r="A491" s="71" t="str">
        <f>IF(TRIM(G491)&lt;&gt;"",COUNTA(G$11:$G491)&amp;"","")</f>
        <v/>
      </c>
      <c r="B491" s="304"/>
      <c r="C491" s="304"/>
      <c r="D491" s="249"/>
      <c r="E491" s="69"/>
      <c r="F491" s="246"/>
      <c r="G491" s="74"/>
      <c r="H491" s="22"/>
      <c r="I491" s="51" t="str">
        <f t="shared" si="751"/>
        <v/>
      </c>
      <c r="J491" s="23" t="str">
        <f t="shared" si="752"/>
        <v/>
      </c>
      <c r="K491" s="24" t="str">
        <f t="shared" si="753"/>
        <v/>
      </c>
      <c r="L491" s="25" t="str">
        <f t="shared" si="760"/>
        <v/>
      </c>
      <c r="M491" s="26" t="str">
        <f t="shared" si="754"/>
        <v/>
      </c>
      <c r="N491" s="26" t="str">
        <f t="shared" si="755"/>
        <v/>
      </c>
      <c r="O491" s="24" t="str">
        <f t="shared" si="756"/>
        <v/>
      </c>
      <c r="P491" s="27" t="str">
        <f t="shared" si="757"/>
        <v/>
      </c>
      <c r="Q491" s="24" t="str">
        <f t="shared" si="758"/>
        <v/>
      </c>
      <c r="R491" s="123"/>
    </row>
    <row r="492" spans="1:18" x14ac:dyDescent="0.35">
      <c r="A492" s="71" t="str">
        <f>IF(TRIM(G492)&lt;&gt;"",COUNTA(G$11:$G492)&amp;"","")</f>
        <v/>
      </c>
      <c r="B492" s="304"/>
      <c r="C492" s="304"/>
      <c r="D492" s="249"/>
      <c r="E492" s="247" t="s">
        <v>353</v>
      </c>
      <c r="F492" s="246"/>
      <c r="G492" s="74"/>
      <c r="H492" s="22"/>
      <c r="I492" s="51" t="str">
        <f t="shared" si="751"/>
        <v/>
      </c>
      <c r="J492" s="23" t="str">
        <f t="shared" si="752"/>
        <v/>
      </c>
      <c r="K492" s="24" t="str">
        <f t="shared" si="753"/>
        <v/>
      </c>
      <c r="L492" s="25" t="str">
        <f t="shared" si="760"/>
        <v/>
      </c>
      <c r="M492" s="26" t="str">
        <f t="shared" si="754"/>
        <v/>
      </c>
      <c r="N492" s="26" t="str">
        <f t="shared" si="755"/>
        <v/>
      </c>
      <c r="O492" s="24" t="str">
        <f t="shared" si="756"/>
        <v/>
      </c>
      <c r="P492" s="27" t="str">
        <f t="shared" si="757"/>
        <v/>
      </c>
      <c r="Q492" s="24" t="str">
        <f t="shared" si="758"/>
        <v/>
      </c>
      <c r="R492" s="123"/>
    </row>
    <row r="493" spans="1:18" x14ac:dyDescent="0.35">
      <c r="A493" s="71" t="str">
        <f>IF(TRIM(G493)&lt;&gt;"",COUNTA(G$11:$G493)&amp;"","")</f>
        <v>297</v>
      </c>
      <c r="B493" s="305"/>
      <c r="C493" s="305"/>
      <c r="D493" s="249"/>
      <c r="E493" s="226" t="s">
        <v>352</v>
      </c>
      <c r="F493" s="246">
        <v>8499.66</v>
      </c>
      <c r="G493" s="74" t="s">
        <v>141</v>
      </c>
      <c r="H493" s="22">
        <v>0</v>
      </c>
      <c r="I493" s="51">
        <f t="shared" si="751"/>
        <v>8499.66</v>
      </c>
      <c r="J493" s="23">
        <v>1.5</v>
      </c>
      <c r="K493" s="24">
        <f t="shared" si="753"/>
        <v>12749.49</v>
      </c>
      <c r="L493" s="25">
        <f t="shared" ref="L493" si="765">$L$444</f>
        <v>92.796000000000006</v>
      </c>
      <c r="M493" s="26">
        <v>8.0000000000000002E-3</v>
      </c>
      <c r="N493" s="26">
        <f t="shared" si="755"/>
        <v>67.997280000000003</v>
      </c>
      <c r="O493" s="24">
        <f t="shared" si="756"/>
        <v>6309.8755948800008</v>
      </c>
      <c r="P493" s="27">
        <f t="shared" si="757"/>
        <v>2.2423679999999999</v>
      </c>
      <c r="Q493" s="24">
        <f t="shared" si="758"/>
        <v>19059.365594880001</v>
      </c>
      <c r="R493" s="123"/>
    </row>
    <row r="494" spans="1:18" ht="15" thickBot="1" x14ac:dyDescent="0.4">
      <c r="A494" s="71" t="str">
        <f>IF(TRIM(G494)&lt;&gt;"",COUNTA(G$11:$G494)&amp;"","")</f>
        <v/>
      </c>
      <c r="B494" s="75"/>
      <c r="C494" s="75"/>
      <c r="D494" s="34"/>
      <c r="E494" s="76"/>
      <c r="F494" s="73"/>
      <c r="G494" s="74"/>
      <c r="H494" s="22" t="str">
        <f t="shared" ref="H494" si="766">IF(F494=0,"",0)</f>
        <v/>
      </c>
      <c r="I494" s="51" t="str">
        <f t="shared" ref="I494" si="767">IF(F494=0,"",F494+(F494*H494))</f>
        <v/>
      </c>
      <c r="J494" s="23" t="str">
        <f t="shared" ref="J494" si="768">IF(F494=0,"",0)</f>
        <v/>
      </c>
      <c r="K494" s="24" t="str">
        <f t="shared" ref="K494" si="769">IF(F494=0,"",J494*I494)</f>
        <v/>
      </c>
      <c r="L494" s="25" t="str">
        <f>IF(F494=0,"",L$444)</f>
        <v/>
      </c>
      <c r="M494" s="26" t="str">
        <f t="shared" ref="M494" si="770">IF(F494=0,"",0)</f>
        <v/>
      </c>
      <c r="N494" s="26" t="str">
        <f t="shared" ref="N494" si="771">IF(F494=0,"",M494*I494)</f>
        <v/>
      </c>
      <c r="O494" s="24" t="str">
        <f t="shared" ref="O494" si="772">IF(F494=0,"",N494*L494)</f>
        <v/>
      </c>
      <c r="P494" s="27" t="str">
        <f t="shared" si="757"/>
        <v/>
      </c>
      <c r="Q494" s="24" t="str">
        <f t="shared" si="758"/>
        <v/>
      </c>
      <c r="R494" s="123"/>
    </row>
    <row r="495" spans="1:18" s="2" customFormat="1" ht="16" thickBot="1" x14ac:dyDescent="0.4">
      <c r="A495" s="84" t="str">
        <f>IF(TRIM(G495)&lt;&gt;"",COUNTA(G$11:$G495)&amp;"","")</f>
        <v/>
      </c>
      <c r="B495" s="36"/>
      <c r="C495" s="36"/>
      <c r="D495" s="37"/>
      <c r="E495" s="19"/>
      <c r="F495" s="90"/>
      <c r="G495" s="91"/>
      <c r="H495" s="85" t="s">
        <v>12</v>
      </c>
      <c r="I495" s="86"/>
      <c r="J495" s="87">
        <f>SUM(K$445:K$494)</f>
        <v>46520.99</v>
      </c>
      <c r="K495" s="311" t="s">
        <v>13</v>
      </c>
      <c r="L495" s="312"/>
      <c r="M495" s="88">
        <f>SUM(O$445:O$494)</f>
        <v>31934.145452880002</v>
      </c>
      <c r="N495" s="311" t="s">
        <v>42</v>
      </c>
      <c r="O495" s="312"/>
      <c r="P495" s="89">
        <f>SUM(N$445:N$494)</f>
        <v>344.13278000000003</v>
      </c>
      <c r="Q495" s="121" t="s">
        <v>187</v>
      </c>
      <c r="R495" s="45">
        <f>SUM(Q$445:Q$494)</f>
        <v>78455.13545288</v>
      </c>
    </row>
    <row r="496" spans="1:18" ht="30" customHeight="1" thickBot="1" x14ac:dyDescent="0.4">
      <c r="A496" s="186" t="str">
        <f>IF(TRIM(G496)&lt;&gt;"",COUNTA(G$11:$G496)&amp;"","")</f>
        <v/>
      </c>
      <c r="B496" s="187"/>
      <c r="C496" s="188"/>
      <c r="D496" s="188"/>
      <c r="E496" s="208" t="s">
        <v>172</v>
      </c>
      <c r="F496" s="189"/>
      <c r="G496" s="189"/>
      <c r="H496" s="187"/>
      <c r="I496" s="189"/>
      <c r="J496" s="187"/>
      <c r="K496" s="187"/>
      <c r="L496" s="187"/>
      <c r="M496" s="187"/>
      <c r="N496" s="187"/>
      <c r="O496" s="187"/>
      <c r="P496" s="187"/>
      <c r="Q496" s="196"/>
      <c r="R496" s="200"/>
    </row>
    <row r="497" spans="1:18" ht="25" customHeight="1" thickBot="1" x14ac:dyDescent="0.4">
      <c r="A497" s="181" t="str">
        <f>IF(TRIM(G497)&lt;&gt;"",COUNTA(G$11:$G497)&amp;"","")</f>
        <v/>
      </c>
      <c r="B497" s="182"/>
      <c r="C497" s="183" t="s">
        <v>120</v>
      </c>
      <c r="D497" s="193" t="s">
        <v>59</v>
      </c>
      <c r="E497" s="193" t="s">
        <v>60</v>
      </c>
      <c r="F497" s="194"/>
      <c r="G497" s="184"/>
      <c r="H497" s="182"/>
      <c r="I497" s="184"/>
      <c r="J497" s="182"/>
      <c r="K497" s="182"/>
      <c r="L497" s="202">
        <v>85</v>
      </c>
      <c r="M497" s="182"/>
      <c r="N497" s="182"/>
      <c r="O497" s="182"/>
      <c r="P497" s="182"/>
      <c r="Q497" s="182"/>
      <c r="R497" s="185"/>
    </row>
    <row r="498" spans="1:18" s="18" customFormat="1" ht="19.25" customHeight="1" x14ac:dyDescent="0.35">
      <c r="A498" s="71" t="str">
        <f>IF(TRIM(G498)&lt;&gt;"",COUNTA(G$11:$G498)&amp;"","")</f>
        <v/>
      </c>
      <c r="B498" s="33"/>
      <c r="C498" s="33"/>
      <c r="D498" s="207" t="s">
        <v>97</v>
      </c>
      <c r="E498" s="205" t="s">
        <v>96</v>
      </c>
      <c r="F498" s="73"/>
      <c r="G498" s="74"/>
      <c r="H498" s="22" t="str">
        <f t="shared" ref="H498:H503" si="773">IF(F498=0,"",0)</f>
        <v/>
      </c>
      <c r="I498" s="51" t="str">
        <f t="shared" ref="I498:I503" si="774">IF(F498=0,"",F498+(F498*H498))</f>
        <v/>
      </c>
      <c r="J498" s="23" t="str">
        <f t="shared" ref="J498:J503" si="775">IF(F498=0,"",0)</f>
        <v/>
      </c>
      <c r="K498" s="24" t="str">
        <f t="shared" ref="K498:K503" si="776">IF(F498=0,"",J498*I498)</f>
        <v/>
      </c>
      <c r="L498" s="25" t="str">
        <f t="shared" ref="L498:L501" si="777">IF(F498=0,"",L$40)</f>
        <v/>
      </c>
      <c r="M498" s="26" t="str">
        <f t="shared" ref="M498:M501" si="778">IF(F498=0,"",0)</f>
        <v/>
      </c>
      <c r="N498" s="26" t="str">
        <f t="shared" ref="N498:N503" si="779">IF(F498=0,"",M498*I498)</f>
        <v/>
      </c>
      <c r="O498" s="24" t="str">
        <f t="shared" ref="O498:O503" si="780">IF(F498=0,"",N498*L498)</f>
        <v/>
      </c>
      <c r="P498" s="27" t="str">
        <f t="shared" ref="P498:P503" si="781">IF(F498=0,"",(K498+O498)/I498)</f>
        <v/>
      </c>
      <c r="Q498" s="24" t="str">
        <f t="shared" ref="Q498:Q503" si="782">IF(F498=0,"",(P498*I498))</f>
        <v/>
      </c>
      <c r="R498" s="125"/>
    </row>
    <row r="499" spans="1:18" x14ac:dyDescent="0.35">
      <c r="A499" s="71" t="str">
        <f>IF(TRIM(G499)&lt;&gt;"",COUNTA(G$11:$G499)&amp;"","")</f>
        <v>298</v>
      </c>
      <c r="B499" s="303" t="s">
        <v>481</v>
      </c>
      <c r="C499" s="303" t="s">
        <v>481</v>
      </c>
      <c r="D499" s="34"/>
      <c r="E499" s="56" t="s">
        <v>156</v>
      </c>
      <c r="F499" s="73">
        <f>F502-F503</f>
        <v>164.62962962962965</v>
      </c>
      <c r="G499" s="74" t="s">
        <v>157</v>
      </c>
      <c r="H499" s="22">
        <f t="shared" si="773"/>
        <v>0</v>
      </c>
      <c r="I499" s="51">
        <f t="shared" si="774"/>
        <v>164.62962962962965</v>
      </c>
      <c r="J499" s="23">
        <f t="shared" si="775"/>
        <v>0</v>
      </c>
      <c r="K499" s="24">
        <f t="shared" si="776"/>
        <v>0</v>
      </c>
      <c r="L499" s="25">
        <f>$L$497</f>
        <v>85</v>
      </c>
      <c r="M499" s="26">
        <v>0.185</v>
      </c>
      <c r="N499" s="26">
        <f t="shared" si="779"/>
        <v>30.456481481481486</v>
      </c>
      <c r="O499" s="24">
        <f t="shared" si="780"/>
        <v>2588.8009259259261</v>
      </c>
      <c r="P499" s="27">
        <f t="shared" si="781"/>
        <v>15.725</v>
      </c>
      <c r="Q499" s="24">
        <f t="shared" si="782"/>
        <v>2588.8009259259261</v>
      </c>
      <c r="R499" s="123"/>
    </row>
    <row r="500" spans="1:18" x14ac:dyDescent="0.35">
      <c r="A500" s="71" t="str">
        <f>IF(TRIM(G500)&lt;&gt;"",COUNTA(G$11:$G500)&amp;"","")</f>
        <v/>
      </c>
      <c r="B500" s="304"/>
      <c r="C500" s="304"/>
      <c r="D500" s="34"/>
      <c r="E500" s="56"/>
      <c r="F500" s="73"/>
      <c r="G500" s="74"/>
      <c r="H500" s="22" t="str">
        <f t="shared" si="773"/>
        <v/>
      </c>
      <c r="I500" s="51" t="str">
        <f t="shared" si="774"/>
        <v/>
      </c>
      <c r="J500" s="23" t="str">
        <f t="shared" si="775"/>
        <v/>
      </c>
      <c r="K500" s="24" t="str">
        <f t="shared" si="776"/>
        <v/>
      </c>
      <c r="L500" s="25" t="str">
        <f t="shared" si="777"/>
        <v/>
      </c>
      <c r="M500" s="26" t="str">
        <f t="shared" si="778"/>
        <v/>
      </c>
      <c r="N500" s="26" t="str">
        <f t="shared" si="779"/>
        <v/>
      </c>
      <c r="O500" s="24" t="str">
        <f t="shared" si="780"/>
        <v/>
      </c>
      <c r="P500" s="27" t="str">
        <f t="shared" si="781"/>
        <v/>
      </c>
      <c r="Q500" s="24" t="str">
        <f t="shared" si="782"/>
        <v/>
      </c>
      <c r="R500" s="123"/>
    </row>
    <row r="501" spans="1:18" s="18" customFormat="1" ht="19.25" customHeight="1" x14ac:dyDescent="0.35">
      <c r="A501" s="71" t="str">
        <f>IF(TRIM(G501)&lt;&gt;"",COUNTA(G$11:$G501)&amp;"","")</f>
        <v/>
      </c>
      <c r="B501" s="304"/>
      <c r="C501" s="304"/>
      <c r="D501" s="207" t="s">
        <v>99</v>
      </c>
      <c r="E501" s="205" t="s">
        <v>98</v>
      </c>
      <c r="F501" s="73"/>
      <c r="G501" s="74"/>
      <c r="H501" s="22" t="str">
        <f t="shared" si="773"/>
        <v/>
      </c>
      <c r="I501" s="51" t="str">
        <f t="shared" si="774"/>
        <v/>
      </c>
      <c r="J501" s="23" t="str">
        <f t="shared" si="775"/>
        <v/>
      </c>
      <c r="K501" s="24" t="str">
        <f t="shared" si="776"/>
        <v/>
      </c>
      <c r="L501" s="25" t="str">
        <f t="shared" si="777"/>
        <v/>
      </c>
      <c r="M501" s="26" t="str">
        <f t="shared" si="778"/>
        <v/>
      </c>
      <c r="N501" s="26" t="str">
        <f t="shared" si="779"/>
        <v/>
      </c>
      <c r="O501" s="24" t="str">
        <f t="shared" si="780"/>
        <v/>
      </c>
      <c r="P501" s="27" t="str">
        <f t="shared" si="781"/>
        <v/>
      </c>
      <c r="Q501" s="24" t="str">
        <f t="shared" si="782"/>
        <v/>
      </c>
      <c r="R501" s="125"/>
    </row>
    <row r="502" spans="1:18" x14ac:dyDescent="0.35">
      <c r="A502" s="71" t="str">
        <f>IF(TRIM(G502)&lt;&gt;"",COUNTA(G$11:$G502)&amp;"","")</f>
        <v>299</v>
      </c>
      <c r="B502" s="304"/>
      <c r="C502" s="304"/>
      <c r="D502" s="34"/>
      <c r="E502" s="56" t="s">
        <v>158</v>
      </c>
      <c r="F502" s="73">
        <f>104*45/27</f>
        <v>173.33333333333334</v>
      </c>
      <c r="G502" s="74" t="s">
        <v>157</v>
      </c>
      <c r="H502" s="22">
        <f t="shared" si="773"/>
        <v>0</v>
      </c>
      <c r="I502" s="51">
        <f t="shared" si="774"/>
        <v>173.33333333333334</v>
      </c>
      <c r="J502" s="23">
        <f t="shared" si="775"/>
        <v>0</v>
      </c>
      <c r="K502" s="24">
        <f t="shared" si="776"/>
        <v>0</v>
      </c>
      <c r="L502" s="25">
        <f t="shared" ref="L502:L503" si="783">$L$497</f>
        <v>85</v>
      </c>
      <c r="M502" s="26">
        <v>0.38500000000000001</v>
      </c>
      <c r="N502" s="26">
        <f t="shared" si="779"/>
        <v>66.733333333333334</v>
      </c>
      <c r="O502" s="24">
        <f t="shared" si="780"/>
        <v>5672.333333333333</v>
      </c>
      <c r="P502" s="27">
        <f t="shared" si="781"/>
        <v>32.724999999999994</v>
      </c>
      <c r="Q502" s="24">
        <f t="shared" si="782"/>
        <v>5672.333333333333</v>
      </c>
      <c r="R502" s="123"/>
    </row>
    <row r="503" spans="1:18" x14ac:dyDescent="0.35">
      <c r="A503" s="71" t="str">
        <f>IF(TRIM(G503)&lt;&gt;"",COUNTA(G$11:$G503)&amp;"","")</f>
        <v>300</v>
      </c>
      <c r="B503" s="305"/>
      <c r="C503" s="305"/>
      <c r="D503" s="34"/>
      <c r="E503" s="56" t="s">
        <v>159</v>
      </c>
      <c r="F503" s="73">
        <f>5*47/27</f>
        <v>8.7037037037037042</v>
      </c>
      <c r="G503" s="74" t="s">
        <v>157</v>
      </c>
      <c r="H503" s="22">
        <f t="shared" si="773"/>
        <v>0</v>
      </c>
      <c r="I503" s="51">
        <f t="shared" si="774"/>
        <v>8.7037037037037042</v>
      </c>
      <c r="J503" s="23">
        <f t="shared" si="775"/>
        <v>0</v>
      </c>
      <c r="K503" s="24">
        <f t="shared" si="776"/>
        <v>0</v>
      </c>
      <c r="L503" s="25">
        <f t="shared" si="783"/>
        <v>85</v>
      </c>
      <c r="M503" s="26">
        <v>0.28499999999999998</v>
      </c>
      <c r="N503" s="26">
        <f t="shared" si="779"/>
        <v>2.4805555555555556</v>
      </c>
      <c r="O503" s="24">
        <f t="shared" si="780"/>
        <v>210.84722222222223</v>
      </c>
      <c r="P503" s="27">
        <f t="shared" si="781"/>
        <v>24.224999999999998</v>
      </c>
      <c r="Q503" s="24">
        <f t="shared" si="782"/>
        <v>210.84722222222223</v>
      </c>
      <c r="R503" s="123"/>
    </row>
    <row r="504" spans="1:18" ht="15" thickBot="1" x14ac:dyDescent="0.4">
      <c r="A504" s="71" t="str">
        <f>IF(TRIM(G504)&lt;&gt;"",COUNTA(G$11:$G504)&amp;"","")</f>
        <v/>
      </c>
      <c r="B504" s="75"/>
      <c r="C504" s="75"/>
      <c r="D504" s="34"/>
      <c r="E504" s="76"/>
      <c r="F504" s="73"/>
      <c r="G504" s="74"/>
      <c r="H504" s="22" t="str">
        <f t="shared" ref="H504" si="784">IF(F504=0,"",0)</f>
        <v/>
      </c>
      <c r="I504" s="51" t="str">
        <f t="shared" ref="I504" si="785">IF(F504=0,"",F504+(F504*H504))</f>
        <v/>
      </c>
      <c r="J504" s="23" t="str">
        <f t="shared" ref="J504" si="786">IF(F504=0,"",0)</f>
        <v/>
      </c>
      <c r="K504" s="24" t="str">
        <f t="shared" ref="K504" si="787">IF(F504=0,"",J504*I504)</f>
        <v/>
      </c>
      <c r="L504" s="25" t="str">
        <f t="shared" ref="L504" si="788">IF(F504=0,"",L$497)</f>
        <v/>
      </c>
      <c r="M504" s="26" t="str">
        <f t="shared" ref="M504" si="789">IF(F504=0,"",0)</f>
        <v/>
      </c>
      <c r="N504" s="26" t="str">
        <f t="shared" ref="N504" si="790">IF(F504=0,"",M504*I504)</f>
        <v/>
      </c>
      <c r="O504" s="24" t="str">
        <f t="shared" ref="O504" si="791">IF(F504=0,"",N504*L504)</f>
        <v/>
      </c>
      <c r="P504" s="27" t="str">
        <f t="shared" ref="P504" si="792">IF(F504=0,"",(K504+O504)/I504)</f>
        <v/>
      </c>
      <c r="Q504" s="24" t="str">
        <f t="shared" ref="Q504" si="793">IF(F504=0,"",(P504*I504))</f>
        <v/>
      </c>
      <c r="R504" s="123"/>
    </row>
    <row r="505" spans="1:18" s="2" customFormat="1" ht="16" thickBot="1" x14ac:dyDescent="0.4">
      <c r="A505" s="84" t="str">
        <f>IF(TRIM(G505)&lt;&gt;"",COUNTA(G$11:$G505)&amp;"","")</f>
        <v/>
      </c>
      <c r="B505" s="36"/>
      <c r="C505" s="36"/>
      <c r="D505" s="37"/>
      <c r="E505" s="19"/>
      <c r="F505" s="90"/>
      <c r="G505" s="91"/>
      <c r="H505" s="85" t="s">
        <v>12</v>
      </c>
      <c r="I505" s="86"/>
      <c r="J505" s="87">
        <f>SUM(K$498:K$504)</f>
        <v>0</v>
      </c>
      <c r="K505" s="311" t="s">
        <v>13</v>
      </c>
      <c r="L505" s="312"/>
      <c r="M505" s="88">
        <f>SUM(O$498:O$504)</f>
        <v>8471.9814814814818</v>
      </c>
      <c r="N505" s="311" t="s">
        <v>42</v>
      </c>
      <c r="O505" s="312"/>
      <c r="P505" s="89">
        <f>SUM(N$498:N$504)</f>
        <v>99.670370370370378</v>
      </c>
      <c r="Q505" s="191" t="s">
        <v>187</v>
      </c>
      <c r="R505" s="88">
        <f>SUM(Q$498:Q$504)</f>
        <v>8471.9814814814818</v>
      </c>
    </row>
    <row r="506" spans="1:18" ht="25" customHeight="1" thickBot="1" x14ac:dyDescent="0.4">
      <c r="A506" s="181" t="str">
        <f>IF(TRIM(G506)&lt;&gt;"",COUNTA(G$11:$G506)&amp;"","")</f>
        <v/>
      </c>
      <c r="B506" s="182"/>
      <c r="C506" s="183" t="s">
        <v>120</v>
      </c>
      <c r="D506" s="193" t="s">
        <v>117</v>
      </c>
      <c r="E506" s="193" t="s">
        <v>118</v>
      </c>
      <c r="F506" s="194"/>
      <c r="G506" s="184"/>
      <c r="H506" s="182"/>
      <c r="I506" s="184"/>
      <c r="J506" s="182"/>
      <c r="K506" s="182"/>
      <c r="L506" s="202">
        <v>85</v>
      </c>
      <c r="M506" s="182"/>
      <c r="N506" s="182"/>
      <c r="O506" s="182"/>
      <c r="P506" s="182"/>
      <c r="Q506" s="182"/>
      <c r="R506" s="185"/>
    </row>
    <row r="507" spans="1:18" s="18" customFormat="1" ht="19.25" customHeight="1" x14ac:dyDescent="0.35">
      <c r="A507" s="71" t="str">
        <f>IF(TRIM(G507)&lt;&gt;"",COUNTA(G$11:$G507)&amp;"","")</f>
        <v/>
      </c>
      <c r="B507" s="33"/>
      <c r="C507" s="33"/>
      <c r="D507" s="207" t="s">
        <v>101</v>
      </c>
      <c r="E507" s="205" t="s">
        <v>100</v>
      </c>
      <c r="F507" s="73"/>
      <c r="G507" s="74"/>
      <c r="H507" s="22" t="str">
        <f t="shared" ref="H507:H511" si="794">IF(F507=0,"",0)</f>
        <v/>
      </c>
      <c r="I507" s="51" t="str">
        <f t="shared" ref="I507:I511" si="795">IF(F507=0,"",F507+(F507*H507))</f>
        <v/>
      </c>
      <c r="J507" s="23" t="str">
        <f t="shared" ref="J507:J511" si="796">IF(F507=0,"",0)</f>
        <v/>
      </c>
      <c r="K507" s="24" t="str">
        <f t="shared" ref="K507:K511" si="797">IF(F507=0,"",J507*I507)</f>
        <v/>
      </c>
      <c r="L507" s="25" t="str">
        <f t="shared" ref="L507:L511" si="798">IF(F507=0,"",L$49)</f>
        <v/>
      </c>
      <c r="M507" s="26" t="str">
        <f t="shared" ref="M507:M511" si="799">IF(F507=0,"",0)</f>
        <v/>
      </c>
      <c r="N507" s="26" t="str">
        <f t="shared" ref="N507:N511" si="800">IF(F507=0,"",M507*I507)</f>
        <v/>
      </c>
      <c r="O507" s="24" t="str">
        <f t="shared" ref="O507:O511" si="801">IF(F507=0,"",N507*L507)</f>
        <v/>
      </c>
      <c r="P507" s="27" t="str">
        <f t="shared" ref="P507:P511" si="802">IF(F507=0,"",(K507+O507)/I507)</f>
        <v/>
      </c>
      <c r="Q507" s="24" t="str">
        <f t="shared" ref="Q507:Q511" si="803">IF(F507=0,"",(P507*I507))</f>
        <v/>
      </c>
      <c r="R507" s="125"/>
    </row>
    <row r="508" spans="1:18" x14ac:dyDescent="0.35">
      <c r="A508" s="71" t="str">
        <f>IF(TRIM(G508)&lt;&gt;"",COUNTA(G$11:$G508)&amp;"","")</f>
        <v>301</v>
      </c>
      <c r="B508" s="303" t="s">
        <v>481</v>
      </c>
      <c r="C508" s="303" t="s">
        <v>481</v>
      </c>
      <c r="D508" s="34"/>
      <c r="E508" s="56" t="s">
        <v>482</v>
      </c>
      <c r="F508" s="73">
        <v>1495.59</v>
      </c>
      <c r="G508" s="73" t="s">
        <v>141</v>
      </c>
      <c r="H508" s="22">
        <v>0.1</v>
      </c>
      <c r="I508" s="51">
        <f t="shared" si="795"/>
        <v>1645.1489999999999</v>
      </c>
      <c r="J508" s="23">
        <v>3.85</v>
      </c>
      <c r="K508" s="24">
        <f t="shared" si="797"/>
        <v>6333.8236499999994</v>
      </c>
      <c r="L508" s="25">
        <f>$L$506</f>
        <v>85</v>
      </c>
      <c r="M508" s="26">
        <v>2.4E-2</v>
      </c>
      <c r="N508" s="26">
        <f t="shared" si="800"/>
        <v>39.483575999999999</v>
      </c>
      <c r="O508" s="24">
        <f t="shared" si="801"/>
        <v>3356.1039599999999</v>
      </c>
      <c r="P508" s="27">
        <f t="shared" si="802"/>
        <v>5.89</v>
      </c>
      <c r="Q508" s="24">
        <f t="shared" si="803"/>
        <v>9689.9276099999988</v>
      </c>
      <c r="R508" s="123"/>
    </row>
    <row r="509" spans="1:18" x14ac:dyDescent="0.35">
      <c r="A509" s="71" t="str">
        <f>IF(TRIM(G509)&lt;&gt;"",COUNTA(G$11:$G509)&amp;"","")</f>
        <v>302</v>
      </c>
      <c r="B509" s="304"/>
      <c r="C509" s="304"/>
      <c r="D509" s="34"/>
      <c r="E509" s="56" t="s">
        <v>483</v>
      </c>
      <c r="F509" s="73">
        <v>781.57</v>
      </c>
      <c r="G509" s="73" t="s">
        <v>141</v>
      </c>
      <c r="H509" s="22">
        <v>0.1</v>
      </c>
      <c r="I509" s="51">
        <f t="shared" si="795"/>
        <v>859.72700000000009</v>
      </c>
      <c r="J509" s="23">
        <v>3.25</v>
      </c>
      <c r="K509" s="24">
        <f t="shared" si="797"/>
        <v>2794.1127500000002</v>
      </c>
      <c r="L509" s="25">
        <f>$L$506</f>
        <v>85</v>
      </c>
      <c r="M509" s="26">
        <v>2.1999999999999999E-2</v>
      </c>
      <c r="N509" s="26">
        <f t="shared" si="800"/>
        <v>18.913994000000002</v>
      </c>
      <c r="O509" s="24">
        <f t="shared" si="801"/>
        <v>1607.6894900000002</v>
      </c>
      <c r="P509" s="27">
        <f t="shared" si="802"/>
        <v>5.12</v>
      </c>
      <c r="Q509" s="24">
        <f t="shared" si="803"/>
        <v>4401.8022400000009</v>
      </c>
      <c r="R509" s="123"/>
    </row>
    <row r="510" spans="1:18" x14ac:dyDescent="0.35">
      <c r="A510" s="71" t="str">
        <f>IF(TRIM(G510)&lt;&gt;"",COUNTA(G$11:$G510)&amp;"","")</f>
        <v/>
      </c>
      <c r="B510" s="304"/>
      <c r="C510" s="304"/>
      <c r="D510" s="34"/>
      <c r="E510" s="56"/>
      <c r="F510" s="73"/>
      <c r="G510" s="74"/>
      <c r="H510" s="22" t="str">
        <f t="shared" si="794"/>
        <v/>
      </c>
      <c r="I510" s="51" t="str">
        <f t="shared" si="795"/>
        <v/>
      </c>
      <c r="J510" s="23" t="str">
        <f t="shared" si="796"/>
        <v/>
      </c>
      <c r="K510" s="24" t="str">
        <f t="shared" si="797"/>
        <v/>
      </c>
      <c r="L510" s="25" t="str">
        <f t="shared" si="798"/>
        <v/>
      </c>
      <c r="M510" s="26" t="str">
        <f t="shared" si="799"/>
        <v/>
      </c>
      <c r="N510" s="26" t="str">
        <f t="shared" si="800"/>
        <v/>
      </c>
      <c r="O510" s="24" t="str">
        <f t="shared" si="801"/>
        <v/>
      </c>
      <c r="P510" s="27" t="str">
        <f t="shared" si="802"/>
        <v/>
      </c>
      <c r="Q510" s="24" t="str">
        <f t="shared" si="803"/>
        <v/>
      </c>
      <c r="R510" s="123"/>
    </row>
    <row r="511" spans="1:18" s="18" customFormat="1" ht="19.25" customHeight="1" x14ac:dyDescent="0.35">
      <c r="A511" s="71" t="str">
        <f>IF(TRIM(G511)&lt;&gt;"",COUNTA(G$11:$G511)&amp;"","")</f>
        <v/>
      </c>
      <c r="B511" s="304"/>
      <c r="C511" s="304"/>
      <c r="D511" s="207" t="s">
        <v>103</v>
      </c>
      <c r="E511" s="205" t="s">
        <v>102</v>
      </c>
      <c r="F511" s="73"/>
      <c r="G511" s="74"/>
      <c r="H511" s="22" t="str">
        <f t="shared" si="794"/>
        <v/>
      </c>
      <c r="I511" s="51" t="str">
        <f t="shared" si="795"/>
        <v/>
      </c>
      <c r="J511" s="23" t="str">
        <f t="shared" si="796"/>
        <v/>
      </c>
      <c r="K511" s="24" t="str">
        <f t="shared" si="797"/>
        <v/>
      </c>
      <c r="L511" s="25" t="str">
        <f t="shared" si="798"/>
        <v/>
      </c>
      <c r="M511" s="26" t="str">
        <f t="shared" si="799"/>
        <v/>
      </c>
      <c r="N511" s="26" t="str">
        <f t="shared" si="800"/>
        <v/>
      </c>
      <c r="O511" s="24" t="str">
        <f t="shared" si="801"/>
        <v/>
      </c>
      <c r="P511" s="27" t="str">
        <f t="shared" si="802"/>
        <v/>
      </c>
      <c r="Q511" s="24" t="str">
        <f t="shared" si="803"/>
        <v/>
      </c>
      <c r="R511" s="125"/>
    </row>
    <row r="512" spans="1:18" x14ac:dyDescent="0.35">
      <c r="A512" s="71" t="str">
        <f>IF(TRIM(G512)&lt;&gt;"",COUNTA(G$11:$G512)&amp;"","")</f>
        <v>303</v>
      </c>
      <c r="B512" s="305"/>
      <c r="C512" s="305"/>
      <c r="D512" s="34"/>
      <c r="E512" s="56" t="s">
        <v>484</v>
      </c>
      <c r="F512" s="73">
        <v>92.64</v>
      </c>
      <c r="G512" s="73" t="s">
        <v>154</v>
      </c>
      <c r="H512" s="22">
        <v>0.1</v>
      </c>
      <c r="I512" s="51">
        <f t="shared" ref="I512" si="804">IF(F512=0,"",F512+(F512*H512))</f>
        <v>101.904</v>
      </c>
      <c r="J512" s="23">
        <v>35</v>
      </c>
      <c r="K512" s="24">
        <f t="shared" ref="K512" si="805">IF(F512=0,"",J512*I512)</f>
        <v>3566.64</v>
      </c>
      <c r="L512" s="25">
        <f>$L$506</f>
        <v>85</v>
      </c>
      <c r="M512" s="26">
        <v>0.3</v>
      </c>
      <c r="N512" s="26">
        <f t="shared" ref="N512" si="806">IF(F512=0,"",M512*I512)</f>
        <v>30.571199999999997</v>
      </c>
      <c r="O512" s="24">
        <f t="shared" ref="O512" si="807">IF(F512=0,"",N512*L512)</f>
        <v>2598.5519999999997</v>
      </c>
      <c r="P512" s="27">
        <f t="shared" ref="P512" si="808">IF(F512=0,"",(K512+O512)/I512)</f>
        <v>60.499999999999993</v>
      </c>
      <c r="Q512" s="24">
        <f t="shared" ref="Q512" si="809">IF(F512=0,"",(P512*I512))</f>
        <v>6165.1919999999991</v>
      </c>
      <c r="R512" s="123"/>
    </row>
    <row r="513" spans="1:18" ht="15" thickBot="1" x14ac:dyDescent="0.4">
      <c r="A513" s="71" t="str">
        <f>IF(TRIM(G513)&lt;&gt;"",COUNTA(G$11:$G513)&amp;"","")</f>
        <v/>
      </c>
      <c r="B513" s="75"/>
      <c r="C513" s="75"/>
      <c r="D513" s="34"/>
      <c r="E513" s="76"/>
      <c r="F513" s="73"/>
      <c r="G513" s="74"/>
      <c r="H513" s="22" t="str">
        <f t="shared" ref="H513" si="810">IF(F513=0,"",0)</f>
        <v/>
      </c>
      <c r="I513" s="51" t="str">
        <f t="shared" ref="I513" si="811">IF(F513=0,"",F513+(F513*H513))</f>
        <v/>
      </c>
      <c r="J513" s="23" t="str">
        <f t="shared" ref="J513" si="812">IF(F513=0,"",0)</f>
        <v/>
      </c>
      <c r="K513" s="24" t="str">
        <f t="shared" ref="K513" si="813">IF(F513=0,"",J513*I513)</f>
        <v/>
      </c>
      <c r="L513" s="25" t="str">
        <f t="shared" ref="L513" si="814">IF(F513=0,"",L$506)</f>
        <v/>
      </c>
      <c r="M513" s="26" t="str">
        <f t="shared" ref="M513" si="815">IF(F513=0,"",0)</f>
        <v/>
      </c>
      <c r="N513" s="26" t="str">
        <f t="shared" ref="N513" si="816">IF(F513=0,"",M513*I513)</f>
        <v/>
      </c>
      <c r="O513" s="24" t="str">
        <f t="shared" ref="O513" si="817">IF(F513=0,"",N513*L513)</f>
        <v/>
      </c>
      <c r="P513" s="27" t="str">
        <f t="shared" ref="P513" si="818">IF(F513=0,"",(K513+O513)/I513)</f>
        <v/>
      </c>
      <c r="Q513" s="24" t="str">
        <f t="shared" ref="Q513" si="819">IF(F513=0,"",(P513*I513))</f>
        <v/>
      </c>
      <c r="R513" s="123"/>
    </row>
    <row r="514" spans="1:18" s="2" customFormat="1" ht="16" thickBot="1" x14ac:dyDescent="0.4">
      <c r="A514" s="84" t="str">
        <f>IF(TRIM(G514)&lt;&gt;"",COUNTA(G$11:$G514)&amp;"","")</f>
        <v/>
      </c>
      <c r="B514" s="75"/>
      <c r="C514" s="75"/>
      <c r="D514" s="37"/>
      <c r="E514" s="19"/>
      <c r="F514" s="90"/>
      <c r="G514" s="91"/>
      <c r="H514" s="85" t="s">
        <v>12</v>
      </c>
      <c r="I514" s="86"/>
      <c r="J514" s="87">
        <f>SUM(K$507:K$513)</f>
        <v>12694.576399999998</v>
      </c>
      <c r="K514" s="311" t="s">
        <v>13</v>
      </c>
      <c r="L514" s="312"/>
      <c r="M514" s="88">
        <f>SUM(O$507:O$513)</f>
        <v>7562.3454499999998</v>
      </c>
      <c r="N514" s="311" t="s">
        <v>42</v>
      </c>
      <c r="O514" s="312"/>
      <c r="P514" s="89">
        <f>SUM(N$507:N$513)</f>
        <v>88.968770000000006</v>
      </c>
      <c r="Q514" s="191" t="s">
        <v>187</v>
      </c>
      <c r="R514" s="88">
        <f>SUM(Q$507:Q$513)</f>
        <v>20256.921849999999</v>
      </c>
    </row>
    <row r="515" spans="1:18" ht="25" customHeight="1" thickBot="1" x14ac:dyDescent="0.4">
      <c r="A515" s="181" t="str">
        <f>IF(TRIM(G515)&lt;&gt;"",COUNTA(G$11:$G515)&amp;"","")</f>
        <v/>
      </c>
      <c r="B515" s="182"/>
      <c r="C515" s="183" t="s">
        <v>120</v>
      </c>
      <c r="D515" s="193" t="s">
        <v>104</v>
      </c>
      <c r="E515" s="193" t="s">
        <v>119</v>
      </c>
      <c r="F515" s="194"/>
      <c r="G515" s="184"/>
      <c r="H515" s="182"/>
      <c r="I515" s="184"/>
      <c r="J515" s="182"/>
      <c r="K515" s="182"/>
      <c r="L515" s="202">
        <v>95</v>
      </c>
      <c r="M515" s="182"/>
      <c r="N515" s="182"/>
      <c r="O515" s="182"/>
      <c r="P515" s="182"/>
      <c r="Q515" s="182"/>
      <c r="R515" s="185"/>
    </row>
    <row r="516" spans="1:18" s="18" customFormat="1" ht="19.25" customHeight="1" x14ac:dyDescent="0.35">
      <c r="A516" s="110" t="str">
        <f>IF(TRIM(G516)&lt;&gt;"",COUNTA(G$11:$G516)&amp;"","")</f>
        <v/>
      </c>
      <c r="B516" s="180"/>
      <c r="C516" s="180"/>
      <c r="D516" s="201" t="s">
        <v>106</v>
      </c>
      <c r="E516" s="203" t="s">
        <v>105</v>
      </c>
      <c r="F516" s="114"/>
      <c r="G516" s="115"/>
      <c r="H516" s="116" t="str">
        <f>IF(F516=0,"",0)</f>
        <v/>
      </c>
      <c r="I516" s="117" t="str">
        <f t="shared" ref="I516:I531" si="820">IF(F516=0,"",F516+(F516*H516))</f>
        <v/>
      </c>
      <c r="J516" s="118" t="str">
        <f>IF(F516=0,"",0)</f>
        <v/>
      </c>
      <c r="K516" s="25" t="str">
        <f>IF(F516=0,"",J516*I516)</f>
        <v/>
      </c>
      <c r="L516" s="25" t="str">
        <f>IF(F516=0,"",L$58)</f>
        <v/>
      </c>
      <c r="M516" s="119" t="str">
        <f>IF(F516=0,"",0)</f>
        <v/>
      </c>
      <c r="N516" s="119" t="str">
        <f>IF(F516=0,"",M516*I516)</f>
        <v/>
      </c>
      <c r="O516" s="25" t="str">
        <f>IF(F516=0,"",N516*L516)</f>
        <v/>
      </c>
      <c r="P516" s="120" t="str">
        <f t="shared" ref="P516:P531" si="821">IF(F516=0,"",(K516+O516)/I516)</f>
        <v/>
      </c>
      <c r="Q516" s="25" t="str">
        <f t="shared" ref="Q516:Q518" si="822">IF(F516=0,"",(P516*I516))</f>
        <v/>
      </c>
      <c r="R516" s="192"/>
    </row>
    <row r="517" spans="1:18" x14ac:dyDescent="0.35">
      <c r="A517" s="71" t="str">
        <f>IF(TRIM(G517)&lt;&gt;"",COUNTA(G$11:$G517)&amp;"","")</f>
        <v>304</v>
      </c>
      <c r="B517" s="303" t="s">
        <v>485</v>
      </c>
      <c r="C517" s="303" t="s">
        <v>485</v>
      </c>
      <c r="D517" s="34"/>
      <c r="E517" s="56" t="s">
        <v>486</v>
      </c>
      <c r="F517" s="73">
        <v>13.85</v>
      </c>
      <c r="G517" s="73" t="s">
        <v>154</v>
      </c>
      <c r="H517" s="22">
        <v>0.1</v>
      </c>
      <c r="I517" s="51">
        <f t="shared" si="820"/>
        <v>15.234999999999999</v>
      </c>
      <c r="J517" s="23">
        <v>45</v>
      </c>
      <c r="K517" s="24">
        <f t="shared" ref="K517:K518" si="823">IF(F517=0,"",J517*I517)</f>
        <v>685.57499999999993</v>
      </c>
      <c r="L517" s="25">
        <f>$L$515</f>
        <v>95</v>
      </c>
      <c r="M517" s="26">
        <v>0.35</v>
      </c>
      <c r="N517" s="26">
        <f t="shared" ref="N517:N518" si="824">IF(F517=0,"",M517*I517)</f>
        <v>5.3322499999999993</v>
      </c>
      <c r="O517" s="24">
        <f t="shared" ref="O517:O518" si="825">IF(F517=0,"",N517*L517)</f>
        <v>506.56374999999991</v>
      </c>
      <c r="P517" s="27">
        <f t="shared" si="821"/>
        <v>78.249999999999986</v>
      </c>
      <c r="Q517" s="24">
        <f t="shared" si="822"/>
        <v>1192.1387499999998</v>
      </c>
      <c r="R517" s="123"/>
    </row>
    <row r="518" spans="1:18" x14ac:dyDescent="0.35">
      <c r="A518" s="71" t="str">
        <f>IF(TRIM(G518)&lt;&gt;"",COUNTA(G$11:$G518)&amp;"","")</f>
        <v>305</v>
      </c>
      <c r="B518" s="304"/>
      <c r="C518" s="304"/>
      <c r="D518" s="34"/>
      <c r="E518" s="56" t="s">
        <v>487</v>
      </c>
      <c r="F518" s="73">
        <v>13.9</v>
      </c>
      <c r="G518" s="73" t="s">
        <v>154</v>
      </c>
      <c r="H518" s="22">
        <v>0.1</v>
      </c>
      <c r="I518" s="51">
        <f t="shared" si="820"/>
        <v>15.290000000000001</v>
      </c>
      <c r="J518" s="23">
        <v>21.5</v>
      </c>
      <c r="K518" s="24">
        <f t="shared" si="823"/>
        <v>328.73500000000001</v>
      </c>
      <c r="L518" s="25">
        <f>$L$515</f>
        <v>95</v>
      </c>
      <c r="M518" s="26">
        <v>0.187</v>
      </c>
      <c r="N518" s="26">
        <f t="shared" si="824"/>
        <v>2.8592300000000002</v>
      </c>
      <c r="O518" s="24">
        <f t="shared" si="825"/>
        <v>271.62684999999999</v>
      </c>
      <c r="P518" s="27">
        <f t="shared" si="821"/>
        <v>39.265000000000001</v>
      </c>
      <c r="Q518" s="24">
        <f t="shared" si="822"/>
        <v>600.36185</v>
      </c>
      <c r="R518" s="123"/>
    </row>
    <row r="519" spans="1:18" x14ac:dyDescent="0.35">
      <c r="A519" s="71" t="str">
        <f>IF(TRIM(G519)&lt;&gt;"",COUNTA(G$11:$G519)&amp;"","")</f>
        <v/>
      </c>
      <c r="B519" s="304"/>
      <c r="C519" s="304"/>
      <c r="D519" s="34"/>
      <c r="E519" s="69"/>
      <c r="F519" s="73"/>
      <c r="G519" s="74"/>
      <c r="H519" s="22" t="str">
        <f t="shared" ref="H519:H530" si="826">IF(F519=0,"",0)</f>
        <v/>
      </c>
      <c r="I519" s="51" t="str">
        <f t="shared" si="820"/>
        <v/>
      </c>
      <c r="J519" s="23" t="str">
        <f t="shared" ref="J519:J530" si="827">IF(F519=0,"",0)</f>
        <v/>
      </c>
      <c r="K519" s="24" t="str">
        <f t="shared" ref="K519:K531" si="828">IF(F519=0,"",J519*I519)</f>
        <v/>
      </c>
      <c r="L519" s="25" t="str">
        <f>IF(F519=0,"",L$58)</f>
        <v/>
      </c>
      <c r="M519" s="26" t="str">
        <f t="shared" ref="M519:M530" si="829">IF(F519=0,"",0)</f>
        <v/>
      </c>
      <c r="N519" s="26" t="str">
        <f t="shared" ref="N519:N531" si="830">IF(F519=0,"",M519*I519)</f>
        <v/>
      </c>
      <c r="O519" s="24" t="str">
        <f t="shared" ref="O519:O531" si="831">IF(F519=0,"",N519*L519)</f>
        <v/>
      </c>
      <c r="P519" s="27" t="str">
        <f t="shared" si="821"/>
        <v/>
      </c>
      <c r="Q519" s="24" t="str">
        <f t="shared" ref="Q519:Q531" si="832">IF(F519=0,"",(P519*I519))</f>
        <v/>
      </c>
      <c r="R519" s="123"/>
    </row>
    <row r="520" spans="1:18" s="18" customFormat="1" ht="19.25" customHeight="1" x14ac:dyDescent="0.35">
      <c r="A520" s="71" t="str">
        <f>IF(TRIM(G520)&lt;&gt;"",COUNTA(G$11:$G520)&amp;"","")</f>
        <v/>
      </c>
      <c r="B520" s="304"/>
      <c r="C520" s="304"/>
      <c r="D520" s="207" t="s">
        <v>108</v>
      </c>
      <c r="E520" s="205" t="s">
        <v>107</v>
      </c>
      <c r="F520" s="73"/>
      <c r="G520" s="74"/>
      <c r="H520" s="22" t="str">
        <f t="shared" si="826"/>
        <v/>
      </c>
      <c r="I520" s="51" t="str">
        <f t="shared" si="820"/>
        <v/>
      </c>
      <c r="J520" s="23" t="str">
        <f t="shared" si="827"/>
        <v/>
      </c>
      <c r="K520" s="24" t="str">
        <f t="shared" si="828"/>
        <v/>
      </c>
      <c r="L520" s="25" t="str">
        <f>IF(F520=0,"",L$58)</f>
        <v/>
      </c>
      <c r="M520" s="26" t="str">
        <f t="shared" si="829"/>
        <v/>
      </c>
      <c r="N520" s="26" t="str">
        <f t="shared" si="830"/>
        <v/>
      </c>
      <c r="O520" s="24" t="str">
        <f t="shared" si="831"/>
        <v/>
      </c>
      <c r="P520" s="27" t="str">
        <f t="shared" si="821"/>
        <v/>
      </c>
      <c r="Q520" s="24" t="str">
        <f t="shared" si="832"/>
        <v/>
      </c>
      <c r="R520" s="125"/>
    </row>
    <row r="521" spans="1:18" x14ac:dyDescent="0.35">
      <c r="A521" s="71" t="str">
        <f>IF(TRIM(G521)&lt;&gt;"",COUNTA(G$11:$G521)&amp;"","")</f>
        <v>306</v>
      </c>
      <c r="B521" s="304"/>
      <c r="C521" s="304"/>
      <c r="D521" s="34"/>
      <c r="E521" s="56" t="s">
        <v>488</v>
      </c>
      <c r="F521" s="73">
        <v>22.18</v>
      </c>
      <c r="G521" s="73" t="s">
        <v>154</v>
      </c>
      <c r="H521" s="22">
        <v>0.1</v>
      </c>
      <c r="I521" s="51">
        <f t="shared" si="820"/>
        <v>24.398</v>
      </c>
      <c r="J521" s="23">
        <v>18.600000000000001</v>
      </c>
      <c r="K521" s="24">
        <f t="shared" si="828"/>
        <v>453.80280000000005</v>
      </c>
      <c r="L521" s="25">
        <f>$L$515</f>
        <v>95</v>
      </c>
      <c r="M521" s="26">
        <v>0.23100000000000001</v>
      </c>
      <c r="N521" s="26">
        <f t="shared" si="830"/>
        <v>5.6359380000000003</v>
      </c>
      <c r="O521" s="24">
        <f t="shared" si="831"/>
        <v>535.41411000000005</v>
      </c>
      <c r="P521" s="27">
        <f t="shared" si="821"/>
        <v>40.545000000000002</v>
      </c>
      <c r="Q521" s="24">
        <f t="shared" si="832"/>
        <v>989.21690999999998</v>
      </c>
      <c r="R521" s="123"/>
    </row>
    <row r="522" spans="1:18" x14ac:dyDescent="0.35">
      <c r="A522" s="71" t="str">
        <f>IF(TRIM(G522)&lt;&gt;"",COUNTA(G$11:$G522)&amp;"","")</f>
        <v/>
      </c>
      <c r="B522" s="304"/>
      <c r="C522" s="304"/>
      <c r="D522" s="34"/>
      <c r="E522" s="56"/>
      <c r="F522" s="73"/>
      <c r="G522" s="74"/>
      <c r="H522" s="22" t="str">
        <f t="shared" si="826"/>
        <v/>
      </c>
      <c r="I522" s="51" t="str">
        <f t="shared" si="820"/>
        <v/>
      </c>
      <c r="J522" s="23" t="str">
        <f t="shared" si="827"/>
        <v/>
      </c>
      <c r="K522" s="24" t="str">
        <f t="shared" si="828"/>
        <v/>
      </c>
      <c r="L522" s="25" t="str">
        <f>IF(F522=0,"",L$58)</f>
        <v/>
      </c>
      <c r="M522" s="26" t="str">
        <f t="shared" si="829"/>
        <v/>
      </c>
      <c r="N522" s="26" t="str">
        <f t="shared" si="830"/>
        <v/>
      </c>
      <c r="O522" s="24" t="str">
        <f t="shared" si="831"/>
        <v/>
      </c>
      <c r="P522" s="27" t="str">
        <f t="shared" si="821"/>
        <v/>
      </c>
      <c r="Q522" s="24" t="str">
        <f t="shared" si="832"/>
        <v/>
      </c>
      <c r="R522" s="123"/>
    </row>
    <row r="523" spans="1:18" s="18" customFormat="1" ht="19.25" customHeight="1" x14ac:dyDescent="0.35">
      <c r="A523" s="71" t="str">
        <f>IF(TRIM(G523)&lt;&gt;"",COUNTA(G$11:$G523)&amp;"","")</f>
        <v/>
      </c>
      <c r="B523" s="304"/>
      <c r="C523" s="304"/>
      <c r="D523" s="207" t="s">
        <v>183</v>
      </c>
      <c r="E523" s="205" t="s">
        <v>109</v>
      </c>
      <c r="F523" s="73"/>
      <c r="G523" s="74"/>
      <c r="H523" s="22" t="str">
        <f t="shared" si="826"/>
        <v/>
      </c>
      <c r="I523" s="51" t="str">
        <f t="shared" si="820"/>
        <v/>
      </c>
      <c r="J523" s="23" t="str">
        <f t="shared" si="827"/>
        <v/>
      </c>
      <c r="K523" s="24" t="str">
        <f t="shared" si="828"/>
        <v/>
      </c>
      <c r="L523" s="25" t="str">
        <f>IF(F523=0,"",L$58)</f>
        <v/>
      </c>
      <c r="M523" s="26" t="str">
        <f t="shared" si="829"/>
        <v/>
      </c>
      <c r="N523" s="26" t="str">
        <f t="shared" si="830"/>
        <v/>
      </c>
      <c r="O523" s="24" t="str">
        <f t="shared" si="831"/>
        <v/>
      </c>
      <c r="P523" s="27" t="str">
        <f t="shared" si="821"/>
        <v/>
      </c>
      <c r="Q523" s="24" t="str">
        <f t="shared" si="832"/>
        <v/>
      </c>
      <c r="R523" s="125"/>
    </row>
    <row r="524" spans="1:18" x14ac:dyDescent="0.35">
      <c r="A524" s="71" t="str">
        <f>IF(TRIM(G524)&lt;&gt;"",COUNTA(G$11:$G524)&amp;"","")</f>
        <v>307</v>
      </c>
      <c r="B524" s="304"/>
      <c r="C524" s="304"/>
      <c r="D524" s="34"/>
      <c r="E524" s="56" t="s">
        <v>489</v>
      </c>
      <c r="F524" s="73">
        <v>147.11000000000001</v>
      </c>
      <c r="G524" s="73" t="s">
        <v>154</v>
      </c>
      <c r="H524" s="22">
        <v>0.1</v>
      </c>
      <c r="I524" s="51">
        <f t="shared" si="820"/>
        <v>161.82100000000003</v>
      </c>
      <c r="J524" s="23">
        <v>33.1</v>
      </c>
      <c r="K524" s="24">
        <f t="shared" si="828"/>
        <v>5356.2751000000007</v>
      </c>
      <c r="L524" s="25">
        <f>$L$515</f>
        <v>95</v>
      </c>
      <c r="M524" s="26">
        <v>0.23599999999999999</v>
      </c>
      <c r="N524" s="26">
        <f t="shared" si="830"/>
        <v>38.189756000000003</v>
      </c>
      <c r="O524" s="24">
        <f t="shared" si="831"/>
        <v>3628.02682</v>
      </c>
      <c r="P524" s="27">
        <f t="shared" si="821"/>
        <v>55.52</v>
      </c>
      <c r="Q524" s="24">
        <f t="shared" si="832"/>
        <v>8984.3019200000017</v>
      </c>
      <c r="R524" s="123"/>
    </row>
    <row r="525" spans="1:18" x14ac:dyDescent="0.35">
      <c r="A525" s="71" t="str">
        <f>IF(TRIM(G525)&lt;&gt;"",COUNTA(G$11:$G525)&amp;"","")</f>
        <v/>
      </c>
      <c r="B525" s="304"/>
      <c r="C525" s="304"/>
      <c r="D525" s="34"/>
      <c r="E525" s="56"/>
      <c r="F525" s="73"/>
      <c r="G525" s="74"/>
      <c r="H525" s="22" t="str">
        <f t="shared" si="826"/>
        <v/>
      </c>
      <c r="I525" s="51" t="str">
        <f t="shared" si="820"/>
        <v/>
      </c>
      <c r="J525" s="23" t="str">
        <f t="shared" si="827"/>
        <v/>
      </c>
      <c r="K525" s="24" t="str">
        <f t="shared" si="828"/>
        <v/>
      </c>
      <c r="L525" s="25" t="str">
        <f>IF(F525=0,"",L$58)</f>
        <v/>
      </c>
      <c r="M525" s="26" t="str">
        <f t="shared" si="829"/>
        <v/>
      </c>
      <c r="N525" s="26" t="str">
        <f t="shared" si="830"/>
        <v/>
      </c>
      <c r="O525" s="24" t="str">
        <f t="shared" si="831"/>
        <v/>
      </c>
      <c r="P525" s="27" t="str">
        <f t="shared" si="821"/>
        <v/>
      </c>
      <c r="Q525" s="24" t="str">
        <f t="shared" si="832"/>
        <v/>
      </c>
      <c r="R525" s="123"/>
    </row>
    <row r="526" spans="1:18" x14ac:dyDescent="0.35">
      <c r="A526" s="71" t="str">
        <f>IF(TRIM(G526)&lt;&gt;"",COUNTA(G$11:$G526)&amp;"","")</f>
        <v/>
      </c>
      <c r="B526" s="304"/>
      <c r="C526" s="304"/>
      <c r="D526" s="34"/>
      <c r="E526" s="205" t="s">
        <v>479</v>
      </c>
      <c r="F526" s="73"/>
      <c r="G526" s="74"/>
      <c r="H526" s="22" t="str">
        <f t="shared" si="826"/>
        <v/>
      </c>
      <c r="I526" s="51" t="str">
        <f t="shared" si="820"/>
        <v/>
      </c>
      <c r="J526" s="23" t="str">
        <f t="shared" si="827"/>
        <v/>
      </c>
      <c r="K526" s="24" t="str">
        <f t="shared" si="828"/>
        <v/>
      </c>
      <c r="L526" s="25" t="str">
        <f>IF(F526=0,"",L$58)</f>
        <v/>
      </c>
      <c r="M526" s="26" t="str">
        <f t="shared" si="829"/>
        <v/>
      </c>
      <c r="N526" s="26" t="str">
        <f t="shared" si="830"/>
        <v/>
      </c>
      <c r="O526" s="24" t="str">
        <f t="shared" si="831"/>
        <v/>
      </c>
      <c r="P526" s="27" t="str">
        <f t="shared" si="821"/>
        <v/>
      </c>
      <c r="Q526" s="24" t="str">
        <f t="shared" si="832"/>
        <v/>
      </c>
      <c r="R526" s="123"/>
    </row>
    <row r="527" spans="1:18" x14ac:dyDescent="0.35">
      <c r="A527" s="71" t="str">
        <f>IF(TRIM(G527)&lt;&gt;"",COUNTA(G$11:$G527)&amp;"","")</f>
        <v>308</v>
      </c>
      <c r="B527" s="304"/>
      <c r="C527" s="304"/>
      <c r="D527" s="34"/>
      <c r="E527" s="76" t="s">
        <v>158</v>
      </c>
      <c r="F527" s="73">
        <f>197*2.5*3/27</f>
        <v>54.722222222222221</v>
      </c>
      <c r="G527" s="74" t="s">
        <v>157</v>
      </c>
      <c r="H527" s="22">
        <v>0.1</v>
      </c>
      <c r="I527" s="51">
        <f t="shared" si="820"/>
        <v>60.194444444444443</v>
      </c>
      <c r="J527" s="23">
        <f t="shared" si="827"/>
        <v>0</v>
      </c>
      <c r="K527" s="24">
        <f t="shared" si="828"/>
        <v>0</v>
      </c>
      <c r="L527" s="25">
        <f t="shared" ref="L527:L528" si="833">$L$515</f>
        <v>95</v>
      </c>
      <c r="M527" s="26">
        <v>0.38500000000000001</v>
      </c>
      <c r="N527" s="26">
        <f t="shared" si="830"/>
        <v>23.17486111111111</v>
      </c>
      <c r="O527" s="24">
        <f t="shared" si="831"/>
        <v>2201.6118055555553</v>
      </c>
      <c r="P527" s="27">
        <f t="shared" si="821"/>
        <v>36.574999999999996</v>
      </c>
      <c r="Q527" s="24">
        <f t="shared" si="832"/>
        <v>2201.6118055555553</v>
      </c>
      <c r="R527" s="123"/>
    </row>
    <row r="528" spans="1:18" x14ac:dyDescent="0.35">
      <c r="A528" s="71" t="str">
        <f>IF(TRIM(G528)&lt;&gt;"",COUNTA(G$11:$G528)&amp;"","")</f>
        <v>309</v>
      </c>
      <c r="B528" s="304"/>
      <c r="C528" s="304"/>
      <c r="D528" s="34"/>
      <c r="E528" s="76" t="s">
        <v>159</v>
      </c>
      <c r="F528" s="73">
        <f>F527-((197*0.5*0.5)/27)</f>
        <v>52.898148148148145</v>
      </c>
      <c r="G528" s="74" t="s">
        <v>157</v>
      </c>
      <c r="H528" s="22">
        <v>0.1</v>
      </c>
      <c r="I528" s="51">
        <f t="shared" si="820"/>
        <v>58.187962962962956</v>
      </c>
      <c r="J528" s="23">
        <f t="shared" si="827"/>
        <v>0</v>
      </c>
      <c r="K528" s="24">
        <f t="shared" si="828"/>
        <v>0</v>
      </c>
      <c r="L528" s="25">
        <f t="shared" si="833"/>
        <v>95</v>
      </c>
      <c r="M528" s="26">
        <v>0.28499999999999998</v>
      </c>
      <c r="N528" s="26">
        <f t="shared" si="830"/>
        <v>16.583569444444443</v>
      </c>
      <c r="O528" s="24">
        <f t="shared" si="831"/>
        <v>1575.439097222222</v>
      </c>
      <c r="P528" s="27">
        <f t="shared" si="821"/>
        <v>27.074999999999999</v>
      </c>
      <c r="Q528" s="24">
        <f t="shared" si="832"/>
        <v>1575.439097222222</v>
      </c>
      <c r="R528" s="123"/>
    </row>
    <row r="529" spans="1:18" x14ac:dyDescent="0.35">
      <c r="A529" s="71" t="str">
        <f>IF(TRIM(G529)&lt;&gt;"",COUNTA(G$11:$G529)&amp;"","")</f>
        <v/>
      </c>
      <c r="B529" s="304"/>
      <c r="C529" s="304"/>
      <c r="D529" s="34"/>
      <c r="E529" s="76"/>
      <c r="F529" s="73"/>
      <c r="G529" s="74"/>
      <c r="H529" s="22"/>
      <c r="I529" s="51"/>
      <c r="J529" s="23"/>
      <c r="K529" s="24"/>
      <c r="L529" s="25"/>
      <c r="M529" s="26"/>
      <c r="N529" s="26"/>
      <c r="O529" s="24"/>
      <c r="P529" s="27"/>
      <c r="Q529" s="24"/>
      <c r="R529" s="123"/>
    </row>
    <row r="530" spans="1:18" x14ac:dyDescent="0.35">
      <c r="A530" s="71" t="str">
        <f>IF(TRIM(G530)&lt;&gt;"",COUNTA(G$11:$G530)&amp;"","")</f>
        <v/>
      </c>
      <c r="B530" s="304"/>
      <c r="C530" s="304"/>
      <c r="D530" s="34"/>
      <c r="E530" s="205" t="s">
        <v>398</v>
      </c>
      <c r="F530" s="73"/>
      <c r="G530" s="74"/>
      <c r="H530" s="22" t="str">
        <f t="shared" si="826"/>
        <v/>
      </c>
      <c r="I530" s="51" t="str">
        <f t="shared" si="820"/>
        <v/>
      </c>
      <c r="J530" s="23" t="str">
        <f t="shared" si="827"/>
        <v/>
      </c>
      <c r="K530" s="24" t="str">
        <f t="shared" si="828"/>
        <v/>
      </c>
      <c r="L530" s="25" t="str">
        <f>IF(F530=0,"",L$58)</f>
        <v/>
      </c>
      <c r="M530" s="26" t="str">
        <f t="shared" si="829"/>
        <v/>
      </c>
      <c r="N530" s="26" t="str">
        <f t="shared" si="830"/>
        <v/>
      </c>
      <c r="O530" s="24" t="str">
        <f t="shared" si="831"/>
        <v/>
      </c>
      <c r="P530" s="27" t="str">
        <f t="shared" si="821"/>
        <v/>
      </c>
      <c r="Q530" s="24" t="str">
        <f t="shared" si="832"/>
        <v/>
      </c>
      <c r="R530" s="123"/>
    </row>
    <row r="531" spans="1:18" x14ac:dyDescent="0.35">
      <c r="A531" s="71" t="str">
        <f>IF(TRIM(G531)&lt;&gt;"",COUNTA(G$11:$G531)&amp;"","")</f>
        <v>310</v>
      </c>
      <c r="B531" s="305"/>
      <c r="C531" s="305"/>
      <c r="D531" s="34"/>
      <c r="E531" s="56" t="s">
        <v>490</v>
      </c>
      <c r="F531" s="73">
        <v>54.5</v>
      </c>
      <c r="G531" s="73" t="s">
        <v>154</v>
      </c>
      <c r="H531" s="22">
        <v>0.1</v>
      </c>
      <c r="I531" s="51">
        <f t="shared" si="820"/>
        <v>59.95</v>
      </c>
      <c r="J531" s="23">
        <v>95</v>
      </c>
      <c r="K531" s="24">
        <f t="shared" si="828"/>
        <v>5695.25</v>
      </c>
      <c r="L531" s="25">
        <f>$L$515</f>
        <v>95</v>
      </c>
      <c r="M531" s="26">
        <v>0.5</v>
      </c>
      <c r="N531" s="26">
        <f t="shared" si="830"/>
        <v>29.975000000000001</v>
      </c>
      <c r="O531" s="24">
        <f t="shared" si="831"/>
        <v>2847.625</v>
      </c>
      <c r="P531" s="27">
        <f t="shared" si="821"/>
        <v>142.5</v>
      </c>
      <c r="Q531" s="24">
        <f t="shared" si="832"/>
        <v>8542.875</v>
      </c>
      <c r="R531" s="123"/>
    </row>
    <row r="532" spans="1:18" ht="15" thickBot="1" x14ac:dyDescent="0.4">
      <c r="A532" s="71" t="str">
        <f>IF(TRIM(G532)&lt;&gt;"",COUNTA(G$10:$G532)&amp;"","")</f>
        <v/>
      </c>
      <c r="B532" s="75"/>
      <c r="C532" s="75"/>
      <c r="D532" s="34"/>
      <c r="E532" s="76"/>
      <c r="F532" s="73"/>
      <c r="G532" s="74"/>
      <c r="H532" s="22" t="str">
        <f t="shared" ref="H532" si="834">IF(F532=0,"",0)</f>
        <v/>
      </c>
      <c r="I532" s="51" t="str">
        <f t="shared" ref="I532" si="835">IF(F532=0,"",F532+(F532*H532))</f>
        <v/>
      </c>
      <c r="J532" s="23" t="str">
        <f t="shared" ref="J532" si="836">IF(F532=0,"",0)</f>
        <v/>
      </c>
      <c r="K532" s="24" t="str">
        <f t="shared" ref="K532" si="837">IF(F532=0,"",J532*I532)</f>
        <v/>
      </c>
      <c r="L532" s="25" t="str">
        <f t="shared" ref="L532" si="838">IF(F532=0,"",L$515)</f>
        <v/>
      </c>
      <c r="M532" s="26" t="str">
        <f t="shared" ref="M532" si="839">IF(F532=0,"",0)</f>
        <v/>
      </c>
      <c r="N532" s="26" t="str">
        <f t="shared" ref="N532" si="840">IF(F532=0,"",M532*I532)</f>
        <v/>
      </c>
      <c r="O532" s="24" t="str">
        <f t="shared" ref="O532" si="841">IF(F532=0,"",N532*L532)</f>
        <v/>
      </c>
      <c r="P532" s="27" t="str">
        <f t="shared" ref="P532" si="842">IF(F532=0,"",(K532+O532)/I532)</f>
        <v/>
      </c>
      <c r="Q532" s="24" t="str">
        <f t="shared" ref="Q532" si="843">IF(F532=0,"",(P532*I532))</f>
        <v/>
      </c>
      <c r="R532" s="123"/>
    </row>
    <row r="533" spans="1:18" s="2" customFormat="1" ht="16" thickBot="1" x14ac:dyDescent="0.4">
      <c r="A533" s="71" t="str">
        <f>IF(TRIM(G533)&lt;&gt;"",COUNTA(G$10:$G533)&amp;"","")</f>
        <v/>
      </c>
      <c r="B533" s="1"/>
      <c r="C533" s="1"/>
      <c r="D533" s="20"/>
      <c r="E533" s="19"/>
      <c r="F533" s="49"/>
      <c r="G533" s="50"/>
      <c r="H533" s="82" t="s">
        <v>12</v>
      </c>
      <c r="I533" s="83"/>
      <c r="J533" s="44">
        <f>SUM(K$516:K$532)</f>
        <v>12519.637900000002</v>
      </c>
      <c r="K533" s="315" t="s">
        <v>13</v>
      </c>
      <c r="L533" s="316"/>
      <c r="M533" s="45">
        <f>SUM(O$516:O$532)</f>
        <v>11566.307432777778</v>
      </c>
      <c r="N533" s="315" t="s">
        <v>42</v>
      </c>
      <c r="O533" s="316"/>
      <c r="P533" s="46">
        <f>SUM(N$516:N$532)</f>
        <v>121.75060455555555</v>
      </c>
      <c r="Q533" s="121" t="s">
        <v>187</v>
      </c>
      <c r="R533" s="45">
        <f>SUM(Q$516:Q$532)</f>
        <v>24085.945332777781</v>
      </c>
    </row>
    <row r="534" spans="1:18" ht="15" thickBot="1" x14ac:dyDescent="0.4">
      <c r="A534" s="127" t="str">
        <f>IF(TRIM(G534)&lt;&gt;"",COUNTA(G$10:$G534)&amp;"","")</f>
        <v/>
      </c>
      <c r="B534" s="128"/>
      <c r="C534" s="128"/>
      <c r="D534" s="129"/>
      <c r="E534" s="130"/>
      <c r="F534" s="131"/>
      <c r="G534" s="132"/>
      <c r="H534" s="133" t="str">
        <f>IF(F534=0,"",0)</f>
        <v/>
      </c>
      <c r="I534" s="134" t="str">
        <f t="shared" ref="I534" si="844">IF(F534=0,"",F534+(F534*H534))</f>
        <v/>
      </c>
      <c r="J534" s="135" t="str">
        <f>IF(F534=0,"",0)</f>
        <v/>
      </c>
      <c r="K534" s="136" t="str">
        <f>IF(F534=0,"",J534*I534)</f>
        <v/>
      </c>
      <c r="L534" s="137" t="str">
        <f>IF(F534=0,"",#REF!)</f>
        <v/>
      </c>
      <c r="M534" s="138" t="str">
        <f>IF(F534=0,"",0)</f>
        <v/>
      </c>
      <c r="N534" s="138" t="str">
        <f>IF(F534=0,"",M534*I534)</f>
        <v/>
      </c>
      <c r="O534" s="136" t="str">
        <f>IF(F534=0,"",N534*L534)</f>
        <v/>
      </c>
      <c r="P534" s="139" t="str">
        <f>IF(F534=0,"",K534+O534)</f>
        <v/>
      </c>
      <c r="Q534" s="139"/>
      <c r="R534" s="140"/>
    </row>
    <row r="535" spans="1:18" s="2" customFormat="1" ht="20" customHeight="1" thickBot="1" x14ac:dyDescent="0.4">
      <c r="A535" s="159" t="str">
        <f>IF(TRIM(G535)&lt;&gt;"",COUNTA(G$10:$G535)&amp;"","")</f>
        <v/>
      </c>
      <c r="B535" s="151"/>
      <c r="C535" s="160"/>
      <c r="D535" s="151"/>
      <c r="E535" s="156"/>
      <c r="F535" s="152"/>
      <c r="G535" s="152"/>
      <c r="H535" s="360" t="s">
        <v>151</v>
      </c>
      <c r="I535" s="361"/>
      <c r="J535" s="209">
        <f>SUM(K$10:K$534)</f>
        <v>712728.68626038125</v>
      </c>
      <c r="K535" s="317" t="s">
        <v>152</v>
      </c>
      <c r="L535" s="318"/>
      <c r="M535" s="210">
        <f>SUM(O$10:O$534)</f>
        <v>872341.65859046741</v>
      </c>
      <c r="N535" s="317" t="s">
        <v>153</v>
      </c>
      <c r="O535" s="318"/>
      <c r="P535" s="211">
        <f>SUM(N$10:N$534)</f>
        <v>10931.911571479332</v>
      </c>
      <c r="Q535" s="212" t="s">
        <v>188</v>
      </c>
      <c r="R535" s="210">
        <f>SUM(Q$9:Q$534)</f>
        <v>1585070.3448508494</v>
      </c>
    </row>
    <row r="536" spans="1:18" ht="15" thickBot="1" x14ac:dyDescent="0.4">
      <c r="A536" s="158" t="str">
        <f>IF(TRIM(G536)&lt;&gt;"",COUNTA(G$10:$G536)&amp;"","")</f>
        <v/>
      </c>
      <c r="B536" s="157"/>
      <c r="C536" s="157"/>
      <c r="D536" s="141"/>
      <c r="E536" s="155"/>
      <c r="F536" s="142"/>
      <c r="G536" s="143"/>
      <c r="H536" s="153" t="str">
        <f>IF(F536=0,"",0)</f>
        <v/>
      </c>
      <c r="I536" s="154" t="str">
        <f t="shared" ref="I536" si="845">IF(F536=0,"",F536+(F536*H536))</f>
        <v/>
      </c>
      <c r="J536" s="144" t="str">
        <f>IF(F536=0,"",0)</f>
        <v/>
      </c>
      <c r="K536" s="145" t="str">
        <f>IF(F536=0,"",J536*I536)</f>
        <v/>
      </c>
      <c r="L536" s="146" t="str">
        <f>IF(F536=0,"",#REF!)</f>
        <v/>
      </c>
      <c r="M536" s="147" t="str">
        <f>IF(F536=0,"",0)</f>
        <v/>
      </c>
      <c r="N536" s="147" t="str">
        <f>IF(F536=0,"",M536*I536)</f>
        <v/>
      </c>
      <c r="O536" s="145" t="str">
        <f>IF(F536=0,"",N536*L536)</f>
        <v/>
      </c>
      <c r="P536" s="148" t="str">
        <f>IF(F536=0,"",K536+O536)</f>
        <v/>
      </c>
      <c r="Q536" s="145"/>
      <c r="R536" s="149"/>
    </row>
    <row r="537" spans="1:18" ht="20.149999999999999" customHeight="1" thickBot="1" x14ac:dyDescent="0.4">
      <c r="A537" s="322" t="s">
        <v>25</v>
      </c>
      <c r="B537" s="323"/>
      <c r="C537" s="323"/>
      <c r="D537" s="323"/>
      <c r="E537" s="323"/>
      <c r="F537" s="323"/>
      <c r="G537" s="323"/>
      <c r="H537" s="323"/>
      <c r="I537" s="323"/>
      <c r="J537" s="323"/>
      <c r="K537" s="323"/>
      <c r="L537" s="323"/>
      <c r="M537" s="323"/>
      <c r="N537" s="323"/>
      <c r="O537" s="323"/>
      <c r="P537" s="323"/>
      <c r="Q537" s="324"/>
      <c r="R537" s="237">
        <f>SUM(K$10:$K$536)</f>
        <v>712728.68626038125</v>
      </c>
    </row>
    <row r="538" spans="1:18" ht="20.149999999999999" customHeight="1" thickBot="1" x14ac:dyDescent="0.4">
      <c r="A538" s="322" t="s">
        <v>26</v>
      </c>
      <c r="B538" s="323"/>
      <c r="C538" s="323"/>
      <c r="D538" s="323"/>
      <c r="E538" s="323"/>
      <c r="F538" s="323"/>
      <c r="G538" s="323"/>
      <c r="H538" s="323"/>
      <c r="I538" s="323"/>
      <c r="J538" s="323"/>
      <c r="K538" s="323"/>
      <c r="L538" s="323"/>
      <c r="M538" s="323"/>
      <c r="N538" s="323"/>
      <c r="O538" s="323"/>
      <c r="P538" s="323"/>
      <c r="Q538" s="324"/>
      <c r="R538" s="237">
        <f>SUM(O$10:O$536)</f>
        <v>872341.65859046741</v>
      </c>
    </row>
    <row r="539" spans="1:18" ht="20.149999999999999" customHeight="1" thickBot="1" x14ac:dyDescent="0.4">
      <c r="A539" s="322" t="s">
        <v>144</v>
      </c>
      <c r="B539" s="323"/>
      <c r="C539" s="323"/>
      <c r="D539" s="323"/>
      <c r="E539" s="323"/>
      <c r="F539" s="323"/>
      <c r="G539" s="323"/>
      <c r="H539" s="323"/>
      <c r="I539" s="323"/>
      <c r="J539" s="323"/>
      <c r="K539" s="323"/>
      <c r="L539" s="323"/>
      <c r="M539" s="323"/>
      <c r="N539" s="323"/>
      <c r="O539" s="323"/>
      <c r="P539" s="323"/>
      <c r="Q539" s="324"/>
      <c r="R539" s="238">
        <f>SUM(N$10:N$536)</f>
        <v>10931.911571479332</v>
      </c>
    </row>
    <row r="540" spans="1:18" ht="19" customHeight="1" x14ac:dyDescent="0.35">
      <c r="A540" s="172"/>
      <c r="B540" s="173"/>
      <c r="C540" s="174"/>
      <c r="D540" s="175"/>
      <c r="E540" s="176"/>
      <c r="F540" s="177"/>
      <c r="G540" s="178"/>
      <c r="H540" s="177"/>
      <c r="I540" s="177"/>
      <c r="J540" s="177"/>
      <c r="K540" s="177"/>
      <c r="L540" s="177"/>
      <c r="M540" s="177"/>
      <c r="N540" s="177"/>
      <c r="O540" s="177"/>
      <c r="P540" s="177"/>
      <c r="Q540" s="177"/>
      <c r="R540" s="177"/>
    </row>
    <row r="541" spans="1:18" ht="18.5" x14ac:dyDescent="0.35">
      <c r="A541" s="174"/>
      <c r="B541" s="213" t="s">
        <v>110</v>
      </c>
      <c r="C541" s="174"/>
      <c r="D541" s="175"/>
      <c r="E541" s="321"/>
      <c r="F541" s="321"/>
      <c r="G541" s="321"/>
      <c r="H541" s="321"/>
      <c r="I541" s="321"/>
      <c r="J541" s="321"/>
      <c r="K541" s="321"/>
      <c r="L541" s="321"/>
      <c r="M541" s="321"/>
      <c r="N541" s="321"/>
      <c r="O541" s="321"/>
      <c r="P541" s="321"/>
      <c r="Q541" s="321"/>
      <c r="R541" s="321"/>
    </row>
    <row r="542" spans="1:18" s="47" customFormat="1" ht="18.75" customHeight="1" x14ac:dyDescent="0.35">
      <c r="A542" s="92">
        <v>1</v>
      </c>
      <c r="B542" s="319" t="s">
        <v>165</v>
      </c>
      <c r="C542" s="319"/>
      <c r="D542" s="319"/>
      <c r="E542" s="319"/>
      <c r="F542" s="319"/>
      <c r="G542" s="319"/>
      <c r="H542" s="319"/>
      <c r="I542" s="319"/>
      <c r="J542" s="319"/>
      <c r="K542" s="319"/>
      <c r="L542" s="319"/>
      <c r="M542" s="319"/>
      <c r="N542" s="319"/>
      <c r="O542" s="319"/>
      <c r="P542" s="319"/>
      <c r="Q542" s="319"/>
      <c r="R542" s="320"/>
    </row>
    <row r="543" spans="1:18" s="47" customFormat="1" ht="18" customHeight="1" x14ac:dyDescent="0.35">
      <c r="A543" s="92">
        <v>2</v>
      </c>
      <c r="B543" s="319" t="s">
        <v>169</v>
      </c>
      <c r="C543" s="319"/>
      <c r="D543" s="319"/>
      <c r="E543" s="319"/>
      <c r="F543" s="319"/>
      <c r="G543" s="319"/>
      <c r="H543" s="319"/>
      <c r="I543" s="319"/>
      <c r="J543" s="319"/>
      <c r="K543" s="319"/>
      <c r="L543" s="319"/>
      <c r="M543" s="319"/>
      <c r="N543" s="319"/>
      <c r="O543" s="319"/>
      <c r="P543" s="319"/>
      <c r="Q543" s="319"/>
      <c r="R543" s="320"/>
    </row>
    <row r="544" spans="1:18" s="47" customFormat="1" ht="18" customHeight="1" x14ac:dyDescent="0.35">
      <c r="A544" s="92">
        <v>3</v>
      </c>
      <c r="B544" s="319" t="s">
        <v>112</v>
      </c>
      <c r="C544" s="319"/>
      <c r="D544" s="319"/>
      <c r="E544" s="319"/>
      <c r="F544" s="319"/>
      <c r="G544" s="319"/>
      <c r="H544" s="319"/>
      <c r="I544" s="319"/>
      <c r="J544" s="319"/>
      <c r="K544" s="319"/>
      <c r="L544" s="319"/>
      <c r="M544" s="319"/>
      <c r="N544" s="319"/>
      <c r="O544" s="319"/>
      <c r="P544" s="319"/>
      <c r="Q544" s="319"/>
      <c r="R544" s="320"/>
    </row>
    <row r="545" spans="1:18" s="47" customFormat="1" ht="18" customHeight="1" x14ac:dyDescent="0.35">
      <c r="A545" s="92">
        <v>4</v>
      </c>
      <c r="B545" s="319" t="s">
        <v>166</v>
      </c>
      <c r="C545" s="319"/>
      <c r="D545" s="319"/>
      <c r="E545" s="319"/>
      <c r="F545" s="319"/>
      <c r="G545" s="319"/>
      <c r="H545" s="319"/>
      <c r="I545" s="319"/>
      <c r="J545" s="319"/>
      <c r="K545" s="319"/>
      <c r="L545" s="319"/>
      <c r="M545" s="319"/>
      <c r="N545" s="319"/>
      <c r="O545" s="319"/>
      <c r="P545" s="319"/>
      <c r="Q545" s="319"/>
      <c r="R545" s="320"/>
    </row>
    <row r="546" spans="1:18" ht="15" thickBot="1" x14ac:dyDescent="0.4">
      <c r="A546" s="38"/>
      <c r="B546" s="351"/>
      <c r="C546" s="351"/>
      <c r="D546" s="351"/>
      <c r="E546" s="351"/>
      <c r="F546" s="351"/>
      <c r="G546" s="351"/>
      <c r="H546" s="351"/>
      <c r="I546" s="351"/>
      <c r="J546" s="351"/>
      <c r="K546" s="351"/>
      <c r="L546" s="351"/>
      <c r="M546" s="351"/>
      <c r="N546" s="351"/>
      <c r="O546" s="351"/>
      <c r="P546" s="351"/>
      <c r="Q546" s="351"/>
      <c r="R546" s="352"/>
    </row>
  </sheetData>
  <mergeCells count="109">
    <mergeCell ref="A1:D5"/>
    <mergeCell ref="B545:R545"/>
    <mergeCell ref="B546:R546"/>
    <mergeCell ref="E2:L2"/>
    <mergeCell ref="M1:N1"/>
    <mergeCell ref="E1:L1"/>
    <mergeCell ref="M2:N2"/>
    <mergeCell ref="M4:N4"/>
    <mergeCell ref="F5:L5"/>
    <mergeCell ref="F3:L3"/>
    <mergeCell ref="F4:L4"/>
    <mergeCell ref="N297:O297"/>
    <mergeCell ref="N272:O272"/>
    <mergeCell ref="K254:L254"/>
    <mergeCell ref="K272:L272"/>
    <mergeCell ref="K263:L263"/>
    <mergeCell ref="N263:O263"/>
    <mergeCell ref="B544:R544"/>
    <mergeCell ref="N533:O533"/>
    <mergeCell ref="H535:I535"/>
    <mergeCell ref="K533:L533"/>
    <mergeCell ref="K514:L514"/>
    <mergeCell ref="N514:O514"/>
    <mergeCell ref="K535:L535"/>
    <mergeCell ref="N535:O535"/>
    <mergeCell ref="B543:R543"/>
    <mergeCell ref="E541:R541"/>
    <mergeCell ref="A537:Q537"/>
    <mergeCell ref="A538:Q538"/>
    <mergeCell ref="A539:Q539"/>
    <mergeCell ref="B446:B493"/>
    <mergeCell ref="M3:N3"/>
    <mergeCell ref="O1:R1"/>
    <mergeCell ref="O2:R2"/>
    <mergeCell ref="O3:R3"/>
    <mergeCell ref="O4:R4"/>
    <mergeCell ref="K61:L61"/>
    <mergeCell ref="N61:O61"/>
    <mergeCell ref="K86:L86"/>
    <mergeCell ref="N86:O86"/>
    <mergeCell ref="K70:L70"/>
    <mergeCell ref="N70:O70"/>
    <mergeCell ref="A6:F6"/>
    <mergeCell ref="H6:K6"/>
    <mergeCell ref="L6:Q6"/>
    <mergeCell ref="O5:R5"/>
    <mergeCell ref="B542:R542"/>
    <mergeCell ref="K234:L234"/>
    <mergeCell ref="N234:O234"/>
    <mergeCell ref="K115:L115"/>
    <mergeCell ref="N115:O115"/>
    <mergeCell ref="N254:O254"/>
    <mergeCell ref="M5:N5"/>
    <mergeCell ref="N17:O17"/>
    <mergeCell ref="K17:L17"/>
    <mergeCell ref="K143:L143"/>
    <mergeCell ref="N143:O143"/>
    <mergeCell ref="K505:L505"/>
    <mergeCell ref="N505:O505"/>
    <mergeCell ref="K495:L495"/>
    <mergeCell ref="N495:O495"/>
    <mergeCell ref="K297:L297"/>
    <mergeCell ref="K443:L443"/>
    <mergeCell ref="N443:O443"/>
    <mergeCell ref="K399:L399"/>
    <mergeCell ref="N399:O399"/>
    <mergeCell ref="C499:C503"/>
    <mergeCell ref="B22:B59"/>
    <mergeCell ref="C22:C59"/>
    <mergeCell ref="B237:B244"/>
    <mergeCell ref="C237:C244"/>
    <mergeCell ref="B173:B191"/>
    <mergeCell ref="C173:C191"/>
    <mergeCell ref="B194:B206"/>
    <mergeCell ref="C194:C206"/>
    <mergeCell ref="B167:B170"/>
    <mergeCell ref="C167:C170"/>
    <mergeCell ref="B99:B106"/>
    <mergeCell ref="C99:C106"/>
    <mergeCell ref="B109:B113"/>
    <mergeCell ref="C109:C113"/>
    <mergeCell ref="B74:B84"/>
    <mergeCell ref="C74:C84"/>
    <mergeCell ref="B67:B68"/>
    <mergeCell ref="C67:C68"/>
    <mergeCell ref="B508:B512"/>
    <mergeCell ref="C508:C512"/>
    <mergeCell ref="B517:B531"/>
    <mergeCell ref="C517:C531"/>
    <mergeCell ref="C446:C493"/>
    <mergeCell ref="B403:B441"/>
    <mergeCell ref="C403:C441"/>
    <mergeCell ref="B95:B96"/>
    <mergeCell ref="C95:C96"/>
    <mergeCell ref="B118:B140"/>
    <mergeCell ref="C118:C140"/>
    <mergeCell ref="B213:B232"/>
    <mergeCell ref="C213:C232"/>
    <mergeCell ref="B147:B161"/>
    <mergeCell ref="C147:C161"/>
    <mergeCell ref="B277:B295"/>
    <mergeCell ref="C277:C295"/>
    <mergeCell ref="B247:B252"/>
    <mergeCell ref="C247:C252"/>
    <mergeCell ref="B257:B261"/>
    <mergeCell ref="C257:C261"/>
    <mergeCell ref="B266:B270"/>
    <mergeCell ref="C266:C270"/>
    <mergeCell ref="B499:B503"/>
  </mergeCells>
  <phoneticPr fontId="9" type="noConversion"/>
  <printOptions horizontalCentered="1"/>
  <pageMargins left="0.23622047244094491" right="0.23622047244094491" top="0.74803149606299213" bottom="0.74803149606299213" header="0.31496062992125984" footer="0.31496062992125984"/>
  <pageSetup scale="39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36DBC5-314B-47A9-B8AC-81E2E19E11CE}">
  <sheetPr>
    <tabColor rgb="FFA50021"/>
    <pageSetUpPr fitToPage="1"/>
  </sheetPr>
  <dimension ref="A1:S306"/>
  <sheetViews>
    <sheetView view="pageBreakPreview" zoomScale="40" zoomScaleNormal="85" zoomScaleSheetLayoutView="40" workbookViewId="0">
      <selection sqref="A1:D5"/>
    </sheetView>
  </sheetViews>
  <sheetFormatPr defaultColWidth="8.81640625" defaultRowHeight="14.5" x14ac:dyDescent="0.35"/>
  <cols>
    <col min="1" max="1" width="6.1796875" style="52" customWidth="1"/>
    <col min="2" max="3" width="15.81640625" style="52" customWidth="1"/>
    <col min="4" max="4" width="13.81640625" style="77" customWidth="1"/>
    <col min="5" max="5" width="82.81640625" style="78" customWidth="1"/>
    <col min="6" max="6" width="15.81640625" style="79" customWidth="1"/>
    <col min="7" max="8" width="15.81640625" style="53" customWidth="1"/>
    <col min="9" max="9" width="15.81640625" style="79" customWidth="1"/>
    <col min="10" max="12" width="15.81640625" style="80" customWidth="1"/>
    <col min="13" max="14" width="15.81640625" style="39" customWidth="1"/>
    <col min="15" max="15" width="15.81640625" style="80" customWidth="1"/>
    <col min="16" max="16" width="15.81640625" style="40" customWidth="1"/>
    <col min="17" max="17" width="15.81640625" style="3" customWidth="1"/>
    <col min="18" max="18" width="15.81640625" style="52" customWidth="1"/>
    <col min="19" max="19" width="8.984375E-2" style="52" customWidth="1"/>
    <col min="20" max="20" width="14.54296875" style="52" bestFit="1" customWidth="1"/>
    <col min="21" max="16384" width="8.81640625" style="52"/>
  </cols>
  <sheetData>
    <row r="1" spans="1:19" ht="45" customHeight="1" thickBot="1" x14ac:dyDescent="0.4">
      <c r="A1" s="342"/>
      <c r="B1" s="343"/>
      <c r="C1" s="343"/>
      <c r="D1" s="344"/>
      <c r="E1" s="353" t="s">
        <v>646</v>
      </c>
      <c r="F1" s="354"/>
      <c r="G1" s="354"/>
      <c r="H1" s="354"/>
      <c r="I1" s="354"/>
      <c r="J1" s="354"/>
      <c r="K1" s="354"/>
      <c r="L1" s="355"/>
      <c r="M1" s="325" t="s">
        <v>150</v>
      </c>
      <c r="N1" s="326"/>
      <c r="O1" s="327">
        <f>SUM(R$297+R$298)+('Bid Recap &amp; Summary'!E$31+'Bid Recap &amp; Summary'!E$32+'Bid Recap &amp; Summary'!E$34)</f>
        <v>480476.50546193169</v>
      </c>
      <c r="P1" s="328"/>
      <c r="Q1" s="328"/>
      <c r="R1" s="329"/>
    </row>
    <row r="2" spans="1:19" ht="45" customHeight="1" thickBot="1" x14ac:dyDescent="0.4">
      <c r="A2" s="345"/>
      <c r="B2" s="346"/>
      <c r="C2" s="346"/>
      <c r="D2" s="347"/>
      <c r="E2" s="330" t="s">
        <v>647</v>
      </c>
      <c r="F2" s="331"/>
      <c r="G2" s="331"/>
      <c r="H2" s="331"/>
      <c r="I2" s="331"/>
      <c r="J2" s="331"/>
      <c r="K2" s="331"/>
      <c r="L2" s="331"/>
      <c r="M2" s="325" t="s">
        <v>145</v>
      </c>
      <c r="N2" s="326"/>
      <c r="O2" s="327">
        <f>O$1*'Bid Recap &amp; Summary'!D$36</f>
        <v>48047.650546193174</v>
      </c>
      <c r="P2" s="328"/>
      <c r="Q2" s="328"/>
      <c r="R2" s="329"/>
    </row>
    <row r="3" spans="1:19" ht="45" customHeight="1" thickBot="1" x14ac:dyDescent="0.4">
      <c r="A3" s="345"/>
      <c r="B3" s="346"/>
      <c r="C3" s="346"/>
      <c r="D3" s="347"/>
      <c r="E3" s="81" t="s">
        <v>147</v>
      </c>
      <c r="F3" s="331" t="s">
        <v>645</v>
      </c>
      <c r="G3" s="331"/>
      <c r="H3" s="331"/>
      <c r="I3" s="331"/>
      <c r="J3" s="331"/>
      <c r="K3" s="331"/>
      <c r="L3" s="332"/>
      <c r="M3" s="325" t="s">
        <v>146</v>
      </c>
      <c r="N3" s="326"/>
      <c r="O3" s="327">
        <f>O$1*'Bid Recap &amp; Summary'!D$37</f>
        <v>48047.650546193174</v>
      </c>
      <c r="P3" s="328"/>
      <c r="Q3" s="328"/>
      <c r="R3" s="329"/>
    </row>
    <row r="4" spans="1:19" ht="45" customHeight="1" thickBot="1" x14ac:dyDescent="0.4">
      <c r="A4" s="345"/>
      <c r="B4" s="346"/>
      <c r="C4" s="346"/>
      <c r="D4" s="347"/>
      <c r="E4" s="81" t="s">
        <v>148</v>
      </c>
      <c r="F4" s="331" t="s">
        <v>149</v>
      </c>
      <c r="G4" s="331"/>
      <c r="H4" s="331"/>
      <c r="I4" s="331"/>
      <c r="J4" s="331"/>
      <c r="K4" s="331"/>
      <c r="L4" s="332"/>
      <c r="M4" s="356" t="s">
        <v>143</v>
      </c>
      <c r="N4" s="357"/>
      <c r="O4" s="327">
        <f>SUM('Bid Recap &amp; Summary'!E$39:E$51)</f>
        <v>0</v>
      </c>
      <c r="P4" s="328"/>
      <c r="Q4" s="328"/>
      <c r="R4" s="329"/>
    </row>
    <row r="5" spans="1:19" ht="40" customHeight="1" thickBot="1" x14ac:dyDescent="0.4">
      <c r="A5" s="348"/>
      <c r="B5" s="349"/>
      <c r="C5" s="349"/>
      <c r="D5" s="350"/>
      <c r="E5" s="150" t="s">
        <v>111</v>
      </c>
      <c r="F5" s="358">
        <v>45999</v>
      </c>
      <c r="G5" s="358"/>
      <c r="H5" s="358"/>
      <c r="I5" s="358"/>
      <c r="J5" s="358"/>
      <c r="K5" s="358"/>
      <c r="L5" s="359"/>
      <c r="M5" s="313" t="s">
        <v>160</v>
      </c>
      <c r="N5" s="314"/>
      <c r="O5" s="339">
        <f>SUM(O$1:Q$4)</f>
        <v>576571.80655431794</v>
      </c>
      <c r="P5" s="340"/>
      <c r="Q5" s="340"/>
      <c r="R5" s="341"/>
    </row>
    <row r="6" spans="1:19" s="254" customFormat="1" ht="30" customHeight="1" thickBot="1" x14ac:dyDescent="0.4">
      <c r="A6" s="330"/>
      <c r="B6" s="331"/>
      <c r="C6" s="331"/>
      <c r="D6" s="331"/>
      <c r="E6" s="331"/>
      <c r="F6" s="332"/>
      <c r="G6" s="252"/>
      <c r="H6" s="333" t="s">
        <v>197</v>
      </c>
      <c r="I6" s="334"/>
      <c r="J6" s="334"/>
      <c r="K6" s="335"/>
      <c r="L6" s="336" t="s">
        <v>198</v>
      </c>
      <c r="M6" s="337"/>
      <c r="N6" s="337"/>
      <c r="O6" s="337"/>
      <c r="P6" s="337"/>
      <c r="Q6" s="338"/>
      <c r="R6" s="253"/>
    </row>
    <row r="7" spans="1:19" ht="50" customHeight="1" thickBot="1" x14ac:dyDescent="0.4">
      <c r="A7" s="28" t="s">
        <v>0</v>
      </c>
      <c r="B7" s="28" t="s">
        <v>10</v>
      </c>
      <c r="C7" s="29" t="s">
        <v>11</v>
      </c>
      <c r="D7" s="30" t="s">
        <v>43</v>
      </c>
      <c r="E7" s="28" t="s">
        <v>1</v>
      </c>
      <c r="F7" s="31" t="s">
        <v>2</v>
      </c>
      <c r="G7" s="28" t="s">
        <v>3</v>
      </c>
      <c r="H7" s="28" t="s">
        <v>131</v>
      </c>
      <c r="I7" s="31" t="s">
        <v>129</v>
      </c>
      <c r="J7" s="32" t="s">
        <v>9</v>
      </c>
      <c r="K7" s="32" t="s">
        <v>4</v>
      </c>
      <c r="L7" s="32" t="s">
        <v>130</v>
      </c>
      <c r="M7" s="161" t="s">
        <v>6</v>
      </c>
      <c r="N7" s="161" t="s">
        <v>7</v>
      </c>
      <c r="O7" s="32" t="s">
        <v>5</v>
      </c>
      <c r="P7" s="162" t="s">
        <v>186</v>
      </c>
      <c r="Q7" s="162" t="s">
        <v>8</v>
      </c>
      <c r="R7" s="162"/>
    </row>
    <row r="8" spans="1:19" ht="30" customHeight="1" thickBot="1" x14ac:dyDescent="0.4">
      <c r="A8" s="195"/>
      <c r="B8" s="196"/>
      <c r="C8" s="197"/>
      <c r="D8" s="197"/>
      <c r="E8" s="198" t="s">
        <v>175</v>
      </c>
      <c r="F8" s="199"/>
      <c r="G8" s="199"/>
      <c r="H8" s="196"/>
      <c r="I8" s="199"/>
      <c r="J8" s="196"/>
      <c r="K8" s="196"/>
      <c r="L8" s="196"/>
      <c r="M8" s="196"/>
      <c r="N8" s="196"/>
      <c r="O8" s="196"/>
      <c r="P8" s="196"/>
      <c r="Q8" s="196"/>
      <c r="R8" s="200"/>
    </row>
    <row r="9" spans="1:19" ht="25" customHeight="1" thickBot="1" x14ac:dyDescent="0.4">
      <c r="A9" s="181"/>
      <c r="B9" s="182"/>
      <c r="C9" s="183" t="s">
        <v>120</v>
      </c>
      <c r="D9" s="193" t="s">
        <v>132</v>
      </c>
      <c r="E9" s="193" t="s">
        <v>133</v>
      </c>
      <c r="F9" s="194"/>
      <c r="G9" s="184"/>
      <c r="H9" s="182"/>
      <c r="I9" s="184"/>
      <c r="J9" s="182"/>
      <c r="K9" s="182"/>
      <c r="L9" s="202">
        <v>75</v>
      </c>
      <c r="M9" s="182"/>
      <c r="N9" s="182"/>
      <c r="O9" s="182"/>
      <c r="P9" s="182"/>
      <c r="Q9" s="182"/>
      <c r="R9" s="185"/>
      <c r="S9" s="275">
        <f>SUM(Q20:Q291)</f>
        <v>395556.73162715236</v>
      </c>
    </row>
    <row r="10" spans="1:19" ht="14.5" customHeight="1" x14ac:dyDescent="0.35">
      <c r="A10" s="110" t="str">
        <f>IF(TRIM(G10)&lt;&gt;"",COUNTA(G8:$G$10)&amp;"","")</f>
        <v/>
      </c>
      <c r="B10" s="111"/>
      <c r="C10" s="111"/>
      <c r="D10" s="112"/>
      <c r="E10" s="113"/>
      <c r="F10" s="114"/>
      <c r="G10" s="115"/>
      <c r="H10" s="116" t="str">
        <f>IF(F10=0,"",0)</f>
        <v/>
      </c>
      <c r="I10" s="117" t="str">
        <f t="shared" ref="I10:I14" si="0">IF(F10=0,"",F10+(F10*H10))</f>
        <v/>
      </c>
      <c r="J10" s="118" t="str">
        <f>IF(F10=0,"",0)</f>
        <v/>
      </c>
      <c r="K10" s="25" t="str">
        <f>IF(F10=0,"",J10*I10)</f>
        <v/>
      </c>
      <c r="L10" s="25" t="str">
        <f>IF(F10=0,"",L$9)</f>
        <v/>
      </c>
      <c r="M10" s="119" t="str">
        <f>IF(F10=0,"",0)</f>
        <v/>
      </c>
      <c r="N10" s="119" t="str">
        <f>IF(F10=0,"",M10*I10)</f>
        <v/>
      </c>
      <c r="O10" s="25" t="str">
        <f>IF(F10=0,"",N10*L10)</f>
        <v/>
      </c>
      <c r="P10" s="120" t="str">
        <f>IF(F10=0,"",(K10+O10)/I10)</f>
        <v/>
      </c>
      <c r="Q10" s="25" t="str">
        <f>IF(F10=0,"",(P10*I10))</f>
        <v/>
      </c>
      <c r="R10" s="122"/>
    </row>
    <row r="11" spans="1:19" x14ac:dyDescent="0.35">
      <c r="A11" s="71" t="str">
        <f>IF(TRIM(G11)&lt;&gt;"",COUNTA(G11:$G$11)&amp;"","")</f>
        <v>1</v>
      </c>
      <c r="B11" s="72"/>
      <c r="C11" s="72"/>
      <c r="D11" s="34"/>
      <c r="E11" s="69" t="s">
        <v>155</v>
      </c>
      <c r="F11" s="73">
        <v>1</v>
      </c>
      <c r="G11" s="74" t="s">
        <v>652</v>
      </c>
      <c r="H11" s="22">
        <f t="shared" ref="H11:H14" si="1">IF(F11=0,"",0)</f>
        <v>0</v>
      </c>
      <c r="I11" s="51">
        <f t="shared" si="0"/>
        <v>1</v>
      </c>
      <c r="J11" s="23">
        <f t="shared" ref="J11:J14" si="2">IF(F11=0,"",0)</f>
        <v>0</v>
      </c>
      <c r="K11" s="24">
        <f t="shared" ref="K11:K14" si="3">IF(F11=0,"",J11*I11)</f>
        <v>0</v>
      </c>
      <c r="L11" s="25">
        <f t="shared" ref="L11:L14" si="4">IF(F11=0,"",L$9)</f>
        <v>75</v>
      </c>
      <c r="M11" s="26">
        <f>$S$9*S11/L11</f>
        <v>52.740897550286988</v>
      </c>
      <c r="N11" s="26">
        <f t="shared" ref="N11:N14" si="5">IF(F11=0,"",M11*I11)</f>
        <v>52.740897550286988</v>
      </c>
      <c r="O11" s="24">
        <f t="shared" ref="O11:O14" si="6">IF(F11=0,"",N11*L11)</f>
        <v>3955.5673162715243</v>
      </c>
      <c r="P11" s="27">
        <f t="shared" ref="P11:P14" si="7">IF(F11=0,"",(K11+O11)/I11)</f>
        <v>3955.5673162715243</v>
      </c>
      <c r="Q11" s="24">
        <f t="shared" ref="Q11:Q14" si="8">IF(F11=0,"",(P11*I11))</f>
        <v>3955.5673162715243</v>
      </c>
      <c r="R11" s="123"/>
      <c r="S11" s="93">
        <v>0.01</v>
      </c>
    </row>
    <row r="12" spans="1:19" x14ac:dyDescent="0.35">
      <c r="A12" s="71" t="str">
        <f>IF(TRIM(G12)&lt;&gt;"",COUNTA(G$11:$G12)&amp;"","")</f>
        <v>2</v>
      </c>
      <c r="B12" s="72"/>
      <c r="C12" s="72"/>
      <c r="D12" s="34"/>
      <c r="E12" s="69" t="s">
        <v>654</v>
      </c>
      <c r="F12" s="73">
        <v>1</v>
      </c>
      <c r="G12" s="74" t="s">
        <v>652</v>
      </c>
      <c r="H12" s="22">
        <f t="shared" si="1"/>
        <v>0</v>
      </c>
      <c r="I12" s="51">
        <f t="shared" si="0"/>
        <v>1</v>
      </c>
      <c r="J12" s="23">
        <f t="shared" si="2"/>
        <v>0</v>
      </c>
      <c r="K12" s="24">
        <f t="shared" si="3"/>
        <v>0</v>
      </c>
      <c r="L12" s="25">
        <f t="shared" si="4"/>
        <v>75</v>
      </c>
      <c r="M12" s="26">
        <f t="shared" ref="M12:M15" si="9">$S$9*S12/L12</f>
        <v>59.069805256321416</v>
      </c>
      <c r="N12" s="26">
        <f t="shared" si="5"/>
        <v>59.069805256321416</v>
      </c>
      <c r="O12" s="24">
        <f t="shared" si="6"/>
        <v>4430.2353942241061</v>
      </c>
      <c r="P12" s="27">
        <f t="shared" si="7"/>
        <v>4430.2353942241061</v>
      </c>
      <c r="Q12" s="24">
        <f t="shared" si="8"/>
        <v>4430.2353942241061</v>
      </c>
      <c r="R12" s="123"/>
      <c r="S12" s="93">
        <v>1.12E-2</v>
      </c>
    </row>
    <row r="13" spans="1:19" x14ac:dyDescent="0.35">
      <c r="A13" s="71" t="str">
        <f>IF(TRIM(G13)&lt;&gt;"",COUNTA(G$11:$G13)&amp;"","")</f>
        <v>3</v>
      </c>
      <c r="B13" s="72"/>
      <c r="C13" s="72"/>
      <c r="D13" s="34"/>
      <c r="E13" s="69" t="s">
        <v>171</v>
      </c>
      <c r="F13" s="73">
        <v>1</v>
      </c>
      <c r="G13" s="74" t="s">
        <v>652</v>
      </c>
      <c r="H13" s="22">
        <f t="shared" si="1"/>
        <v>0</v>
      </c>
      <c r="I13" s="51">
        <f t="shared" si="0"/>
        <v>1</v>
      </c>
      <c r="J13" s="23">
        <f t="shared" si="2"/>
        <v>0</v>
      </c>
      <c r="K13" s="24">
        <f t="shared" si="3"/>
        <v>0</v>
      </c>
      <c r="L13" s="25">
        <f t="shared" si="4"/>
        <v>75</v>
      </c>
      <c r="M13" s="26">
        <f t="shared" si="9"/>
        <v>34.281583407686533</v>
      </c>
      <c r="N13" s="26">
        <f t="shared" si="5"/>
        <v>34.281583407686533</v>
      </c>
      <c r="O13" s="24">
        <f t="shared" si="6"/>
        <v>2571.11875557649</v>
      </c>
      <c r="P13" s="27">
        <f t="shared" si="7"/>
        <v>2571.11875557649</v>
      </c>
      <c r="Q13" s="24">
        <f t="shared" si="8"/>
        <v>2571.11875557649</v>
      </c>
      <c r="R13" s="123"/>
      <c r="S13" s="93">
        <v>6.4999999999999997E-3</v>
      </c>
    </row>
    <row r="14" spans="1:19" x14ac:dyDescent="0.35">
      <c r="A14" s="71" t="str">
        <f>IF(TRIM(G14)&lt;&gt;"",COUNTA(G$11:$G14)&amp;"","")</f>
        <v>4</v>
      </c>
      <c r="B14" s="72"/>
      <c r="C14" s="72"/>
      <c r="D14" s="34"/>
      <c r="E14" s="56" t="s">
        <v>191</v>
      </c>
      <c r="F14" s="73">
        <v>1</v>
      </c>
      <c r="G14" s="74" t="s">
        <v>652</v>
      </c>
      <c r="H14" s="22">
        <f t="shared" si="1"/>
        <v>0</v>
      </c>
      <c r="I14" s="51">
        <f t="shared" si="0"/>
        <v>1</v>
      </c>
      <c r="J14" s="23">
        <f t="shared" si="2"/>
        <v>0</v>
      </c>
      <c r="K14" s="24">
        <f t="shared" si="3"/>
        <v>0</v>
      </c>
      <c r="L14" s="25">
        <f t="shared" si="4"/>
        <v>75</v>
      </c>
      <c r="M14" s="26">
        <f t="shared" si="9"/>
        <v>44.829762917743935</v>
      </c>
      <c r="N14" s="26">
        <f t="shared" si="5"/>
        <v>44.829762917743935</v>
      </c>
      <c r="O14" s="24">
        <f t="shared" si="6"/>
        <v>3362.2322188307953</v>
      </c>
      <c r="P14" s="27">
        <f t="shared" si="7"/>
        <v>3362.2322188307953</v>
      </c>
      <c r="Q14" s="24">
        <f t="shared" si="8"/>
        <v>3362.2322188307953</v>
      </c>
      <c r="R14" s="123"/>
      <c r="S14" s="93">
        <v>8.5000000000000006E-3</v>
      </c>
    </row>
    <row r="15" spans="1:19" x14ac:dyDescent="0.35">
      <c r="A15" s="71" t="str">
        <f>IF(TRIM(G15)&lt;&gt;"",COUNTA(G$11:$G15)&amp;"","")</f>
        <v>5</v>
      </c>
      <c r="B15" s="72"/>
      <c r="C15" s="72"/>
      <c r="D15" s="34"/>
      <c r="E15" s="56" t="s">
        <v>653</v>
      </c>
      <c r="F15" s="73">
        <v>1</v>
      </c>
      <c r="G15" s="74" t="s">
        <v>652</v>
      </c>
      <c r="H15" s="22">
        <f t="shared" ref="H15" si="10">IF(F15=0,"",0)</f>
        <v>0</v>
      </c>
      <c r="I15" s="51">
        <f t="shared" ref="I15" si="11">IF(F15=0,"",F15+(F15*H15))</f>
        <v>1</v>
      </c>
      <c r="J15" s="23">
        <f t="shared" ref="J15" si="12">IF(F15=0,"",0)</f>
        <v>0</v>
      </c>
      <c r="K15" s="24">
        <f t="shared" ref="K15" si="13">IF(F15=0,"",J15*I15)</f>
        <v>0</v>
      </c>
      <c r="L15" s="25">
        <f t="shared" ref="L15" si="14">IF(F15=0,"",L$9)</f>
        <v>75</v>
      </c>
      <c r="M15" s="26">
        <f t="shared" si="9"/>
        <v>237.3340389762914</v>
      </c>
      <c r="N15" s="26">
        <f t="shared" ref="N15" si="15">IF(F15=0,"",M15*I15)</f>
        <v>237.3340389762914</v>
      </c>
      <c r="O15" s="24">
        <f t="shared" ref="O15" si="16">IF(F15=0,"",N15*L15)</f>
        <v>17800.052923221854</v>
      </c>
      <c r="P15" s="27">
        <f t="shared" ref="P15" si="17">IF(F15=0,"",(K15+O15)/I15)</f>
        <v>17800.052923221854</v>
      </c>
      <c r="Q15" s="24">
        <f t="shared" ref="Q15" si="18">IF(F15=0,"",(P15*I15))</f>
        <v>17800.052923221854</v>
      </c>
      <c r="R15" s="123"/>
      <c r="S15" s="93">
        <v>4.4999999999999998E-2</v>
      </c>
    </row>
    <row r="16" spans="1:19" ht="15" thickBot="1" x14ac:dyDescent="0.4">
      <c r="A16" s="71"/>
      <c r="B16" s="75"/>
      <c r="C16" s="75"/>
      <c r="D16" s="277"/>
      <c r="E16" s="76"/>
      <c r="F16" s="73"/>
      <c r="G16" s="278"/>
      <c r="H16" s="279"/>
      <c r="I16" s="280"/>
      <c r="J16" s="281"/>
      <c r="K16" s="282"/>
      <c r="L16" s="282"/>
      <c r="M16" s="283"/>
      <c r="N16" s="283"/>
      <c r="O16" s="282"/>
      <c r="P16" s="282"/>
      <c r="Q16" s="282"/>
      <c r="R16" s="284"/>
      <c r="S16" s="93"/>
    </row>
    <row r="17" spans="1:19" s="2" customFormat="1" ht="16" thickBot="1" x14ac:dyDescent="0.4">
      <c r="A17" s="71" t="str">
        <f>IF(TRIM(G17)&lt;&gt;"",COUNTA(G$11:$G17)&amp;"","")</f>
        <v/>
      </c>
      <c r="B17" s="1"/>
      <c r="C17" s="1"/>
      <c r="D17" s="20"/>
      <c r="E17" s="19"/>
      <c r="F17" s="49"/>
      <c r="G17" s="50"/>
      <c r="H17" s="82" t="s">
        <v>12</v>
      </c>
      <c r="I17" s="83"/>
      <c r="J17" s="44">
        <f>SUM(K$10:K$15)</f>
        <v>0</v>
      </c>
      <c r="K17" s="315" t="s">
        <v>13</v>
      </c>
      <c r="L17" s="316"/>
      <c r="M17" s="45">
        <f>SUM(O$10:O$15)</f>
        <v>32119.206608124769</v>
      </c>
      <c r="N17" s="315" t="s">
        <v>42</v>
      </c>
      <c r="O17" s="316"/>
      <c r="P17" s="46">
        <f>SUM(N$10:N$15)</f>
        <v>428.25608810833023</v>
      </c>
      <c r="Q17" s="121" t="s">
        <v>187</v>
      </c>
      <c r="R17" s="45">
        <f>SUM(Q10:Q15)</f>
        <v>32119.206608124769</v>
      </c>
      <c r="S17" s="276"/>
    </row>
    <row r="18" spans="1:19" ht="30" customHeight="1" thickBot="1" x14ac:dyDescent="0.4">
      <c r="A18" s="195" t="str">
        <f>IF(TRIM(G18)&lt;&gt;"",COUNTA(G$11:$G18)&amp;"","")</f>
        <v/>
      </c>
      <c r="B18" s="196"/>
      <c r="C18" s="197"/>
      <c r="D18" s="197"/>
      <c r="E18" s="198" t="s">
        <v>174</v>
      </c>
      <c r="F18" s="199"/>
      <c r="G18" s="199"/>
      <c r="H18" s="196"/>
      <c r="I18" s="199"/>
      <c r="J18" s="196"/>
      <c r="K18" s="196"/>
      <c r="L18" s="196"/>
      <c r="M18" s="196"/>
      <c r="N18" s="196"/>
      <c r="O18" s="196"/>
      <c r="P18" s="196"/>
      <c r="Q18" s="196"/>
      <c r="R18" s="200"/>
    </row>
    <row r="19" spans="1:19" ht="25" customHeight="1" thickBot="1" x14ac:dyDescent="0.4">
      <c r="A19" s="181" t="str">
        <f>IF(TRIM(G19)&lt;&gt;"",COUNTA(G$11:$G19)&amp;"","")</f>
        <v/>
      </c>
      <c r="B19" s="182"/>
      <c r="C19" s="183" t="s">
        <v>120</v>
      </c>
      <c r="D19" s="193" t="s">
        <v>115</v>
      </c>
      <c r="E19" s="193" t="s">
        <v>113</v>
      </c>
      <c r="F19" s="194"/>
      <c r="G19" s="184"/>
      <c r="H19" s="182"/>
      <c r="I19" s="184"/>
      <c r="J19" s="182"/>
      <c r="K19" s="182"/>
      <c r="L19" s="202">
        <v>74</v>
      </c>
      <c r="M19" s="182"/>
      <c r="N19" s="182"/>
      <c r="O19" s="182"/>
      <c r="P19" s="182"/>
      <c r="Q19" s="182"/>
      <c r="R19" s="185"/>
    </row>
    <row r="20" spans="1:19" s="18" customFormat="1" ht="19.25" customHeight="1" x14ac:dyDescent="0.35">
      <c r="A20" s="110" t="str">
        <f>IF(TRIM(G20)&lt;&gt;"",COUNTA(G$11:$G20)&amp;"","")</f>
        <v/>
      </c>
      <c r="B20" s="180"/>
      <c r="C20" s="180"/>
      <c r="D20" s="201" t="s">
        <v>63</v>
      </c>
      <c r="E20" s="203" t="s">
        <v>536</v>
      </c>
      <c r="F20" s="114"/>
      <c r="G20" s="115"/>
      <c r="H20" s="116" t="str">
        <f t="shared" ref="H20:H42" si="19">IF(F20=0,"",0)</f>
        <v/>
      </c>
      <c r="I20" s="117" t="str">
        <f t="shared" ref="I20:I42" si="20">IF(F20=0,"",F20+(F20*H20))</f>
        <v/>
      </c>
      <c r="J20" s="118" t="str">
        <f t="shared" ref="J20:J42" si="21">IF(F20=0,"",0)</f>
        <v/>
      </c>
      <c r="K20" s="25" t="str">
        <f t="shared" ref="K20:K42" si="22">IF(F20=0,"",J20*I20)</f>
        <v/>
      </c>
      <c r="L20" s="25" t="str">
        <f t="shared" ref="L20:L42" si="23">IF(F20=0,"",L$19)</f>
        <v/>
      </c>
      <c r="M20" s="119" t="str">
        <f t="shared" ref="M20:M42" si="24">IF(F20=0,"",0)</f>
        <v/>
      </c>
      <c r="N20" s="119" t="str">
        <f t="shared" ref="N20:N42" si="25">IF(F20=0,"",M20*I20)</f>
        <v/>
      </c>
      <c r="O20" s="25" t="str">
        <f t="shared" ref="O20:O42" si="26">IF(F20=0,"",N20*L20)</f>
        <v/>
      </c>
      <c r="P20" s="120" t="str">
        <f t="shared" ref="P20:P42" si="27">IF(F20=0,"",(K20+O20)/I20)</f>
        <v/>
      </c>
      <c r="Q20" s="25" t="str">
        <f t="shared" ref="Q20:Q42" si="28">IF(F20=0,"",(P20*I20))</f>
        <v/>
      </c>
      <c r="R20" s="192"/>
    </row>
    <row r="21" spans="1:19" x14ac:dyDescent="0.35">
      <c r="A21" s="71" t="str">
        <f>IF(TRIM(G21)&lt;&gt;"",COUNTA(G$11:$G21)&amp;"","")</f>
        <v/>
      </c>
      <c r="B21" s="72"/>
      <c r="C21" s="72"/>
      <c r="D21" s="34"/>
      <c r="E21" s="268" t="s">
        <v>537</v>
      </c>
      <c r="F21" s="73"/>
      <c r="G21" s="74"/>
      <c r="H21" s="22" t="str">
        <f t="shared" si="19"/>
        <v/>
      </c>
      <c r="I21" s="51" t="str">
        <f t="shared" si="20"/>
        <v/>
      </c>
      <c r="J21" s="23" t="str">
        <f t="shared" si="21"/>
        <v/>
      </c>
      <c r="K21" s="24" t="str">
        <f t="shared" si="22"/>
        <v/>
      </c>
      <c r="L21" s="25" t="str">
        <f t="shared" si="23"/>
        <v/>
      </c>
      <c r="M21" s="26" t="str">
        <f t="shared" si="24"/>
        <v/>
      </c>
      <c r="N21" s="26" t="str">
        <f t="shared" si="25"/>
        <v/>
      </c>
      <c r="O21" s="24" t="str">
        <f t="shared" si="26"/>
        <v/>
      </c>
      <c r="P21" s="27" t="str">
        <f t="shared" si="27"/>
        <v/>
      </c>
      <c r="Q21" s="24" t="str">
        <f t="shared" si="28"/>
        <v/>
      </c>
      <c r="R21" s="123"/>
    </row>
    <row r="22" spans="1:19" x14ac:dyDescent="0.35">
      <c r="A22" s="71" t="str">
        <f>IF(TRIM(G22)&lt;&gt;"",COUNTA(G$11:$G22)&amp;"","")</f>
        <v>6</v>
      </c>
      <c r="B22" s="72" t="s">
        <v>605</v>
      </c>
      <c r="C22" s="72" t="s">
        <v>605</v>
      </c>
      <c r="D22" s="34"/>
      <c r="E22" s="69" t="s">
        <v>538</v>
      </c>
      <c r="F22" s="73">
        <f>387.47/4</f>
        <v>96.867500000000007</v>
      </c>
      <c r="G22" s="74" t="s">
        <v>192</v>
      </c>
      <c r="H22" s="22">
        <f t="shared" si="19"/>
        <v>0</v>
      </c>
      <c r="I22" s="51">
        <f t="shared" si="20"/>
        <v>96.867500000000007</v>
      </c>
      <c r="J22" s="23">
        <v>2.0099999999999998</v>
      </c>
      <c r="K22" s="24">
        <f t="shared" si="22"/>
        <v>194.703675</v>
      </c>
      <c r="L22" s="25">
        <f t="shared" si="23"/>
        <v>74</v>
      </c>
      <c r="M22" s="26">
        <v>6.5000000000000002E-2</v>
      </c>
      <c r="N22" s="26">
        <f t="shared" si="25"/>
        <v>6.2963875000000007</v>
      </c>
      <c r="O22" s="24">
        <f t="shared" si="26"/>
        <v>465.93267500000007</v>
      </c>
      <c r="P22" s="27">
        <f t="shared" si="27"/>
        <v>6.82</v>
      </c>
      <c r="Q22" s="24">
        <f t="shared" si="28"/>
        <v>660.63635000000011</v>
      </c>
      <c r="R22" s="123"/>
    </row>
    <row r="23" spans="1:19" x14ac:dyDescent="0.35">
      <c r="A23" s="71" t="str">
        <f>IF(TRIM(G23)&lt;&gt;"",COUNTA(G$11:$G23)&amp;"","")</f>
        <v/>
      </c>
      <c r="B23" s="72"/>
      <c r="C23" s="72"/>
      <c r="D23" s="34"/>
      <c r="E23" s="69"/>
      <c r="F23" s="73"/>
      <c r="G23" s="74"/>
      <c r="H23" s="22" t="str">
        <f t="shared" si="19"/>
        <v/>
      </c>
      <c r="I23" s="51" t="str">
        <f t="shared" si="20"/>
        <v/>
      </c>
      <c r="J23" s="23" t="str">
        <f t="shared" si="21"/>
        <v/>
      </c>
      <c r="K23" s="24" t="str">
        <f t="shared" si="22"/>
        <v/>
      </c>
      <c r="L23" s="25" t="str">
        <f t="shared" si="23"/>
        <v/>
      </c>
      <c r="M23" s="26" t="str">
        <f t="shared" si="24"/>
        <v/>
      </c>
      <c r="N23" s="26" t="str">
        <f t="shared" si="25"/>
        <v/>
      </c>
      <c r="O23" s="24" t="str">
        <f t="shared" si="26"/>
        <v/>
      </c>
      <c r="P23" s="27" t="str">
        <f t="shared" si="27"/>
        <v/>
      </c>
      <c r="Q23" s="24" t="str">
        <f t="shared" si="28"/>
        <v/>
      </c>
      <c r="R23" s="123"/>
    </row>
    <row r="24" spans="1:19" x14ac:dyDescent="0.35">
      <c r="A24" s="71" t="str">
        <f>IF(TRIM(G24)&lt;&gt;"",COUNTA(G$11:$G24)&amp;"","")</f>
        <v/>
      </c>
      <c r="B24" s="72"/>
      <c r="C24" s="72"/>
      <c r="D24" s="34"/>
      <c r="E24" s="268" t="s">
        <v>542</v>
      </c>
      <c r="F24" s="73"/>
      <c r="G24" s="74"/>
      <c r="H24" s="22" t="str">
        <f t="shared" si="19"/>
        <v/>
      </c>
      <c r="I24" s="51" t="str">
        <f t="shared" si="20"/>
        <v/>
      </c>
      <c r="J24" s="23" t="str">
        <f t="shared" si="21"/>
        <v/>
      </c>
      <c r="K24" s="24" t="str">
        <f t="shared" si="22"/>
        <v/>
      </c>
      <c r="L24" s="25" t="str">
        <f t="shared" si="23"/>
        <v/>
      </c>
      <c r="M24" s="26" t="str">
        <f t="shared" si="24"/>
        <v/>
      </c>
      <c r="N24" s="26" t="str">
        <f t="shared" si="25"/>
        <v/>
      </c>
      <c r="O24" s="24" t="str">
        <f t="shared" si="26"/>
        <v/>
      </c>
      <c r="P24" s="27" t="str">
        <f t="shared" si="27"/>
        <v/>
      </c>
      <c r="Q24" s="24" t="str">
        <f t="shared" si="28"/>
        <v/>
      </c>
      <c r="R24" s="123"/>
    </row>
    <row r="25" spans="1:19" x14ac:dyDescent="0.35">
      <c r="A25" s="71" t="str">
        <f>IF(TRIM(G25)&lt;&gt;"",COUNTA(G$11:$G25)&amp;"","")</f>
        <v>7</v>
      </c>
      <c r="B25" s="309" t="s">
        <v>606</v>
      </c>
      <c r="C25" s="309" t="s">
        <v>606</v>
      </c>
      <c r="D25" s="34"/>
      <c r="E25" s="69" t="s">
        <v>543</v>
      </c>
      <c r="F25" s="73">
        <v>17</v>
      </c>
      <c r="G25" s="74" t="s">
        <v>192</v>
      </c>
      <c r="H25" s="22">
        <f t="shared" ref="H25:H28" si="29">IF(F25=0,"",0)</f>
        <v>0</v>
      </c>
      <c r="I25" s="51">
        <f t="shared" ref="I25:I28" si="30">IF(F25=0,"",F25+(F25*H25))</f>
        <v>17</v>
      </c>
      <c r="J25" s="23">
        <v>157.79</v>
      </c>
      <c r="K25" s="24">
        <f t="shared" si="22"/>
        <v>2682.43</v>
      </c>
      <c r="L25" s="25">
        <f t="shared" si="23"/>
        <v>74</v>
      </c>
      <c r="M25" s="26">
        <v>1.3096569999999998</v>
      </c>
      <c r="N25" s="26">
        <f t="shared" ref="N25:N28" si="31">IF(F25=0,"",M25*I25)</f>
        <v>22.264168999999999</v>
      </c>
      <c r="O25" s="24">
        <f t="shared" ref="O25:O28" si="32">IF(F25=0,"",N25*L25)</f>
        <v>1647.5485059999999</v>
      </c>
      <c r="P25" s="27">
        <f t="shared" ref="P25:P28" si="33">IF(F25=0,"",(K25+O25)/I25)</f>
        <v>254.70461799999998</v>
      </c>
      <c r="Q25" s="24">
        <f t="shared" ref="Q25:Q28" si="34">IF(F25=0,"",(P25*I25))</f>
        <v>4329.9785059999995</v>
      </c>
      <c r="R25" s="123"/>
    </row>
    <row r="26" spans="1:19" x14ac:dyDescent="0.35">
      <c r="A26" s="71" t="str">
        <f>IF(TRIM(G26)&lt;&gt;"",COUNTA(G$11:$G26)&amp;"","")</f>
        <v>8</v>
      </c>
      <c r="B26" s="362"/>
      <c r="C26" s="362"/>
      <c r="D26" s="34"/>
      <c r="E26" s="69" t="s">
        <v>544</v>
      </c>
      <c r="F26" s="73">
        <v>1</v>
      </c>
      <c r="G26" s="74" t="s">
        <v>192</v>
      </c>
      <c r="H26" s="22">
        <f t="shared" si="29"/>
        <v>0</v>
      </c>
      <c r="I26" s="51">
        <f t="shared" si="30"/>
        <v>1</v>
      </c>
      <c r="J26" s="23">
        <v>157.79</v>
      </c>
      <c r="K26" s="24">
        <f t="shared" ref="K26:K28" si="35">IF(F26=0,"",J26*I26)</f>
        <v>157.79</v>
      </c>
      <c r="L26" s="25">
        <f t="shared" ref="L26:L28" si="36">IF(F26=0,"",L$19)</f>
        <v>74</v>
      </c>
      <c r="M26" s="26">
        <v>1.3096569999999998</v>
      </c>
      <c r="N26" s="26">
        <f t="shared" si="31"/>
        <v>1.3096569999999998</v>
      </c>
      <c r="O26" s="24">
        <f t="shared" si="32"/>
        <v>96.91461799999999</v>
      </c>
      <c r="P26" s="27">
        <f t="shared" si="33"/>
        <v>254.70461799999998</v>
      </c>
      <c r="Q26" s="24">
        <f t="shared" si="34"/>
        <v>254.70461799999998</v>
      </c>
      <c r="R26" s="123"/>
    </row>
    <row r="27" spans="1:19" x14ac:dyDescent="0.35">
      <c r="A27" s="71" t="str">
        <f>IF(TRIM(G27)&lt;&gt;"",COUNTA(G$11:$G27)&amp;"","")</f>
        <v>9</v>
      </c>
      <c r="B27" s="362"/>
      <c r="C27" s="362"/>
      <c r="D27" s="34"/>
      <c r="E27" s="69" t="s">
        <v>545</v>
      </c>
      <c r="F27" s="73">
        <v>20</v>
      </c>
      <c r="G27" s="74" t="s">
        <v>192</v>
      </c>
      <c r="H27" s="22">
        <f t="shared" si="29"/>
        <v>0</v>
      </c>
      <c r="I27" s="51">
        <f t="shared" si="30"/>
        <v>20</v>
      </c>
      <c r="J27" s="23">
        <v>21.03</v>
      </c>
      <c r="K27" s="24">
        <f t="shared" si="35"/>
        <v>420.6</v>
      </c>
      <c r="L27" s="25">
        <f t="shared" si="36"/>
        <v>74</v>
      </c>
      <c r="M27" s="26">
        <v>0.151</v>
      </c>
      <c r="N27" s="26">
        <f t="shared" si="31"/>
        <v>3.02</v>
      </c>
      <c r="O27" s="24">
        <f t="shared" si="32"/>
        <v>223.48</v>
      </c>
      <c r="P27" s="27">
        <f t="shared" si="33"/>
        <v>32.204000000000001</v>
      </c>
      <c r="Q27" s="24">
        <f t="shared" si="34"/>
        <v>644.08000000000004</v>
      </c>
      <c r="R27" s="123"/>
    </row>
    <row r="28" spans="1:19" x14ac:dyDescent="0.35">
      <c r="A28" s="71" t="str">
        <f>IF(TRIM(G28)&lt;&gt;"",COUNTA(G$11:$G28)&amp;"","")</f>
        <v>10</v>
      </c>
      <c r="B28" s="310"/>
      <c r="C28" s="310"/>
      <c r="D28" s="34"/>
      <c r="E28" s="69" t="s">
        <v>546</v>
      </c>
      <c r="F28" s="73">
        <v>127</v>
      </c>
      <c r="G28" s="74" t="s">
        <v>192</v>
      </c>
      <c r="H28" s="22">
        <f t="shared" si="29"/>
        <v>0</v>
      </c>
      <c r="I28" s="51">
        <f t="shared" si="30"/>
        <v>127</v>
      </c>
      <c r="J28" s="23">
        <v>6.98</v>
      </c>
      <c r="K28" s="24">
        <f t="shared" si="35"/>
        <v>886.46</v>
      </c>
      <c r="L28" s="25">
        <f t="shared" si="36"/>
        <v>74</v>
      </c>
      <c r="M28" s="26">
        <v>0.1</v>
      </c>
      <c r="N28" s="26">
        <f t="shared" si="31"/>
        <v>12.700000000000001</v>
      </c>
      <c r="O28" s="24">
        <f t="shared" si="32"/>
        <v>939.80000000000007</v>
      </c>
      <c r="P28" s="27">
        <f t="shared" si="33"/>
        <v>14.380000000000003</v>
      </c>
      <c r="Q28" s="24">
        <f t="shared" si="34"/>
        <v>1826.2600000000002</v>
      </c>
      <c r="R28" s="123"/>
    </row>
    <row r="29" spans="1:19" x14ac:dyDescent="0.35">
      <c r="A29" s="71" t="str">
        <f>IF(TRIM(G29)&lt;&gt;"",COUNTA(G$11:$G29)&amp;"","")</f>
        <v/>
      </c>
      <c r="B29" s="72"/>
      <c r="C29" s="72"/>
      <c r="D29" s="34"/>
      <c r="E29" s="69"/>
      <c r="F29" s="73"/>
      <c r="G29" s="74"/>
      <c r="H29" s="22"/>
      <c r="I29" s="51"/>
      <c r="J29" s="23"/>
      <c r="K29" s="24"/>
      <c r="L29" s="25"/>
      <c r="M29" s="26"/>
      <c r="N29" s="26"/>
      <c r="O29" s="24"/>
      <c r="P29" s="27"/>
      <c r="Q29" s="24"/>
      <c r="R29" s="123"/>
    </row>
    <row r="30" spans="1:19" x14ac:dyDescent="0.35">
      <c r="A30" s="71" t="str">
        <f>IF(TRIM(G30)&lt;&gt;"",COUNTA(G$11:$G30)&amp;"","")</f>
        <v/>
      </c>
      <c r="B30" s="72"/>
      <c r="C30" s="72"/>
      <c r="D30" s="34"/>
      <c r="E30" s="268" t="s">
        <v>569</v>
      </c>
      <c r="F30" s="73"/>
      <c r="G30" s="74"/>
      <c r="H30" s="22"/>
      <c r="I30" s="51"/>
      <c r="J30" s="23"/>
      <c r="K30" s="24"/>
      <c r="L30" s="25"/>
      <c r="M30" s="26"/>
      <c r="N30" s="26"/>
      <c r="O30" s="24"/>
      <c r="P30" s="27"/>
      <c r="Q30" s="24"/>
      <c r="R30" s="123"/>
    </row>
    <row r="31" spans="1:19" x14ac:dyDescent="0.35">
      <c r="A31" s="71" t="str">
        <f>IF(TRIM(G31)&lt;&gt;"",COUNTA(G$11:$G31)&amp;"","")</f>
        <v>11</v>
      </c>
      <c r="B31" s="309" t="s">
        <v>606</v>
      </c>
      <c r="C31" s="309" t="s">
        <v>606</v>
      </c>
      <c r="D31" s="34"/>
      <c r="E31" s="69" t="s">
        <v>546</v>
      </c>
      <c r="F31" s="73">
        <v>74</v>
      </c>
      <c r="G31" s="74" t="s">
        <v>192</v>
      </c>
      <c r="H31" s="22">
        <f t="shared" ref="H31" si="37">IF(F31=0,"",0)</f>
        <v>0</v>
      </c>
      <c r="I31" s="51">
        <f t="shared" ref="I31" si="38">IF(F31=0,"",F31+(F31*H31))</f>
        <v>74</v>
      </c>
      <c r="J31" s="23">
        <v>6.98</v>
      </c>
      <c r="K31" s="24">
        <f t="shared" ref="K31:K32" si="39">IF(F31=0,"",J31*I31)</f>
        <v>516.52</v>
      </c>
      <c r="L31" s="25">
        <f t="shared" ref="L31:L32" si="40">IF(F31=0,"",L$19)</f>
        <v>74</v>
      </c>
      <c r="M31" s="26">
        <v>0.1</v>
      </c>
      <c r="N31" s="26">
        <f t="shared" ref="N31" si="41">IF(F31=0,"",M31*I31)</f>
        <v>7.4</v>
      </c>
      <c r="O31" s="24">
        <f t="shared" ref="O31" si="42">IF(F31=0,"",N31*L31)</f>
        <v>547.6</v>
      </c>
      <c r="P31" s="27">
        <f t="shared" ref="P31" si="43">IF(F31=0,"",(K31+O31)/I31)</f>
        <v>14.379999999999999</v>
      </c>
      <c r="Q31" s="24">
        <f t="shared" ref="Q31" si="44">IF(F31=0,"",(P31*I31))</f>
        <v>1064.1199999999999</v>
      </c>
      <c r="R31" s="123"/>
    </row>
    <row r="32" spans="1:19" x14ac:dyDescent="0.35">
      <c r="A32" s="71" t="str">
        <f>IF(TRIM(G32)&lt;&gt;"",COUNTA(G$11:$G32)&amp;"","")</f>
        <v>12</v>
      </c>
      <c r="B32" s="362"/>
      <c r="C32" s="362"/>
      <c r="D32" s="34"/>
      <c r="E32" s="69" t="s">
        <v>543</v>
      </c>
      <c r="F32" s="73">
        <v>18</v>
      </c>
      <c r="G32" s="74" t="s">
        <v>192</v>
      </c>
      <c r="H32" s="22">
        <f t="shared" si="19"/>
        <v>0</v>
      </c>
      <c r="I32" s="51">
        <f t="shared" si="20"/>
        <v>18</v>
      </c>
      <c r="J32" s="23">
        <v>157.79</v>
      </c>
      <c r="K32" s="24">
        <f t="shared" si="39"/>
        <v>2840.22</v>
      </c>
      <c r="L32" s="25">
        <f t="shared" si="40"/>
        <v>74</v>
      </c>
      <c r="M32" s="26">
        <v>1.3096569999999998</v>
      </c>
      <c r="N32" s="26">
        <f t="shared" si="25"/>
        <v>23.573825999999997</v>
      </c>
      <c r="O32" s="24">
        <f t="shared" si="26"/>
        <v>1744.4631239999999</v>
      </c>
      <c r="P32" s="27">
        <f t="shared" si="27"/>
        <v>254.70461799999995</v>
      </c>
      <c r="Q32" s="24">
        <f t="shared" si="28"/>
        <v>4584.6831239999992</v>
      </c>
      <c r="R32" s="123"/>
    </row>
    <row r="33" spans="1:18" x14ac:dyDescent="0.35">
      <c r="A33" s="71" t="str">
        <f>IF(TRIM(G33)&lt;&gt;"",COUNTA(G$11:$G33)&amp;"","")</f>
        <v>13</v>
      </c>
      <c r="B33" s="310"/>
      <c r="C33" s="310"/>
      <c r="D33" s="34"/>
      <c r="E33" s="69" t="s">
        <v>545</v>
      </c>
      <c r="F33" s="73">
        <v>11</v>
      </c>
      <c r="G33" s="74" t="s">
        <v>192</v>
      </c>
      <c r="H33" s="22">
        <f t="shared" si="19"/>
        <v>0</v>
      </c>
      <c r="I33" s="51">
        <f t="shared" si="20"/>
        <v>11</v>
      </c>
      <c r="J33" s="23">
        <v>21.03</v>
      </c>
      <c r="K33" s="24">
        <f t="shared" si="22"/>
        <v>231.33</v>
      </c>
      <c r="L33" s="25">
        <f t="shared" si="23"/>
        <v>74</v>
      </c>
      <c r="M33" s="26">
        <v>0.151</v>
      </c>
      <c r="N33" s="26">
        <f t="shared" si="25"/>
        <v>1.661</v>
      </c>
      <c r="O33" s="24">
        <f t="shared" si="26"/>
        <v>122.914</v>
      </c>
      <c r="P33" s="27">
        <f t="shared" si="27"/>
        <v>32.204000000000001</v>
      </c>
      <c r="Q33" s="24">
        <f t="shared" si="28"/>
        <v>354.24400000000003</v>
      </c>
      <c r="R33" s="123"/>
    </row>
    <row r="34" spans="1:18" x14ac:dyDescent="0.35">
      <c r="A34" s="71" t="str">
        <f>IF(TRIM(G34)&lt;&gt;"",COUNTA(G$11:$G34)&amp;"","")</f>
        <v/>
      </c>
      <c r="B34" s="72"/>
      <c r="C34" s="72"/>
      <c r="D34" s="34"/>
      <c r="E34" s="56"/>
      <c r="F34" s="73"/>
      <c r="G34" s="74"/>
      <c r="H34" s="22" t="str">
        <f t="shared" si="19"/>
        <v/>
      </c>
      <c r="I34" s="51" t="str">
        <f t="shared" si="20"/>
        <v/>
      </c>
      <c r="J34" s="23" t="str">
        <f t="shared" si="21"/>
        <v/>
      </c>
      <c r="K34" s="24" t="str">
        <f t="shared" si="22"/>
        <v/>
      </c>
      <c r="L34" s="25" t="str">
        <f t="shared" si="23"/>
        <v/>
      </c>
      <c r="M34" s="26" t="str">
        <f t="shared" si="24"/>
        <v/>
      </c>
      <c r="N34" s="26" t="str">
        <f t="shared" si="25"/>
        <v/>
      </c>
      <c r="O34" s="24" t="str">
        <f t="shared" si="26"/>
        <v/>
      </c>
      <c r="P34" s="27" t="str">
        <f t="shared" si="27"/>
        <v/>
      </c>
      <c r="Q34" s="24" t="str">
        <f t="shared" si="28"/>
        <v/>
      </c>
      <c r="R34" s="123"/>
    </row>
    <row r="35" spans="1:18" x14ac:dyDescent="0.35">
      <c r="A35" s="71" t="str">
        <f>IF(TRIM(G35)&lt;&gt;"",COUNTA(G$11:$G35)&amp;"","")</f>
        <v/>
      </c>
      <c r="B35" s="72"/>
      <c r="C35" s="72"/>
      <c r="D35" s="34"/>
      <c r="E35" s="268" t="s">
        <v>576</v>
      </c>
      <c r="F35" s="73"/>
      <c r="G35" s="74"/>
      <c r="H35" s="22"/>
      <c r="I35" s="51"/>
      <c r="J35" s="23"/>
      <c r="K35" s="24"/>
      <c r="L35" s="25"/>
      <c r="M35" s="26"/>
      <c r="N35" s="26"/>
      <c r="O35" s="24"/>
      <c r="P35" s="27"/>
      <c r="Q35" s="24"/>
      <c r="R35" s="123"/>
    </row>
    <row r="36" spans="1:18" x14ac:dyDescent="0.35">
      <c r="A36" s="71" t="str">
        <f>IF(TRIM(G36)&lt;&gt;"",COUNTA(G$11:$G36)&amp;"","")</f>
        <v>14</v>
      </c>
      <c r="B36" s="309" t="s">
        <v>607</v>
      </c>
      <c r="C36" s="309" t="s">
        <v>607</v>
      </c>
      <c r="D36" s="34"/>
      <c r="E36" s="56" t="s">
        <v>577</v>
      </c>
      <c r="F36" s="73">
        <v>10</v>
      </c>
      <c r="G36" s="74" t="s">
        <v>192</v>
      </c>
      <c r="H36" s="22">
        <f t="shared" ref="H36:H38" si="45">IF(F36=0,"",0)</f>
        <v>0</v>
      </c>
      <c r="I36" s="51">
        <f t="shared" ref="I36:I38" si="46">IF(F36=0,"",F36+(F36*H36))</f>
        <v>10</v>
      </c>
      <c r="J36" s="23">
        <v>11.54</v>
      </c>
      <c r="K36" s="24">
        <f t="shared" ref="K36:K38" si="47">IF(F36=0,"",J36*I36)</f>
        <v>115.39999999999999</v>
      </c>
      <c r="L36" s="25">
        <f t="shared" ref="L36:L38" si="48">IF(F36=0,"",L$19)</f>
        <v>74</v>
      </c>
      <c r="M36" s="26">
        <v>6.5000000000000002E-2</v>
      </c>
      <c r="N36" s="26">
        <f t="shared" ref="N36:N38" si="49">IF(F36=0,"",M36*I36)</f>
        <v>0.65</v>
      </c>
      <c r="O36" s="24">
        <f t="shared" ref="O36:O38" si="50">IF(F36=0,"",N36*L36)</f>
        <v>48.1</v>
      </c>
      <c r="P36" s="27">
        <f t="shared" ref="P36:P38" si="51">IF(F36=0,"",(K36+O36)/I36)</f>
        <v>16.350000000000001</v>
      </c>
      <c r="Q36" s="24">
        <f t="shared" ref="Q36:Q38" si="52">IF(F36=0,"",(P36*I36))</f>
        <v>163.5</v>
      </c>
      <c r="R36" s="123"/>
    </row>
    <row r="37" spans="1:18" x14ac:dyDescent="0.35">
      <c r="A37" s="71" t="str">
        <f>IF(TRIM(G37)&lt;&gt;"",COUNTA(G$11:$G37)&amp;"","")</f>
        <v>15</v>
      </c>
      <c r="B37" s="362"/>
      <c r="C37" s="362"/>
      <c r="D37" s="34"/>
      <c r="E37" s="56" t="s">
        <v>543</v>
      </c>
      <c r="F37" s="73">
        <v>19</v>
      </c>
      <c r="G37" s="74" t="s">
        <v>192</v>
      </c>
      <c r="H37" s="22">
        <f t="shared" si="45"/>
        <v>0</v>
      </c>
      <c r="I37" s="51">
        <f t="shared" si="46"/>
        <v>19</v>
      </c>
      <c r="J37" s="23">
        <v>157.79</v>
      </c>
      <c r="K37" s="24">
        <f t="shared" si="47"/>
        <v>2998.0099999999998</v>
      </c>
      <c r="L37" s="25">
        <f t="shared" si="48"/>
        <v>74</v>
      </c>
      <c r="M37" s="26">
        <v>1.3096569999999998</v>
      </c>
      <c r="N37" s="26">
        <f t="shared" si="49"/>
        <v>24.883482999999998</v>
      </c>
      <c r="O37" s="24">
        <f t="shared" si="50"/>
        <v>1841.3777419999999</v>
      </c>
      <c r="P37" s="27">
        <f t="shared" si="51"/>
        <v>254.70461799999998</v>
      </c>
      <c r="Q37" s="24">
        <f t="shared" si="52"/>
        <v>4839.3877419999999</v>
      </c>
      <c r="R37" s="123"/>
    </row>
    <row r="38" spans="1:18" x14ac:dyDescent="0.35">
      <c r="A38" s="71" t="str">
        <f>IF(TRIM(G38)&lt;&gt;"",COUNTA(G$11:$G38)&amp;"","")</f>
        <v>16</v>
      </c>
      <c r="B38" s="310"/>
      <c r="C38" s="310"/>
      <c r="D38" s="34"/>
      <c r="E38" s="56" t="s">
        <v>544</v>
      </c>
      <c r="F38" s="73">
        <v>2</v>
      </c>
      <c r="G38" s="74" t="s">
        <v>192</v>
      </c>
      <c r="H38" s="22">
        <f t="shared" si="45"/>
        <v>0</v>
      </c>
      <c r="I38" s="51">
        <f t="shared" si="46"/>
        <v>2</v>
      </c>
      <c r="J38" s="23">
        <v>157.79</v>
      </c>
      <c r="K38" s="24">
        <f t="shared" si="47"/>
        <v>315.58</v>
      </c>
      <c r="L38" s="25">
        <f t="shared" si="48"/>
        <v>74</v>
      </c>
      <c r="M38" s="26">
        <v>1.3096569999999998</v>
      </c>
      <c r="N38" s="26">
        <f t="shared" si="49"/>
        <v>2.6193139999999997</v>
      </c>
      <c r="O38" s="24">
        <f t="shared" si="50"/>
        <v>193.82923599999998</v>
      </c>
      <c r="P38" s="27">
        <f t="shared" si="51"/>
        <v>254.70461799999998</v>
      </c>
      <c r="Q38" s="24">
        <f t="shared" si="52"/>
        <v>509.40923599999996</v>
      </c>
      <c r="R38" s="123"/>
    </row>
    <row r="39" spans="1:18" x14ac:dyDescent="0.35">
      <c r="A39" s="71" t="str">
        <f>IF(TRIM(G39)&lt;&gt;"",COUNTA(G$11:$G39)&amp;"","")</f>
        <v/>
      </c>
      <c r="B39" s="72"/>
      <c r="C39" s="72"/>
      <c r="D39" s="34"/>
      <c r="E39" s="56"/>
      <c r="F39" s="73"/>
      <c r="G39" s="74"/>
      <c r="H39" s="22"/>
      <c r="I39" s="51"/>
      <c r="J39" s="23"/>
      <c r="K39" s="24"/>
      <c r="L39" s="25"/>
      <c r="M39" s="26"/>
      <c r="N39" s="26"/>
      <c r="O39" s="24"/>
      <c r="P39" s="27"/>
      <c r="Q39" s="24"/>
      <c r="R39" s="123"/>
    </row>
    <row r="40" spans="1:18" x14ac:dyDescent="0.35">
      <c r="A40" s="71" t="str">
        <f>IF(TRIM(G40)&lt;&gt;"",COUNTA(G$11:$G40)&amp;"","")</f>
        <v/>
      </c>
      <c r="B40" s="72" t="s">
        <v>607</v>
      </c>
      <c r="C40" s="72" t="s">
        <v>607</v>
      </c>
      <c r="D40" s="34"/>
      <c r="E40" s="268" t="s">
        <v>592</v>
      </c>
      <c r="F40" s="73"/>
      <c r="G40" s="74"/>
      <c r="H40" s="22"/>
      <c r="I40" s="51"/>
      <c r="J40" s="23"/>
      <c r="K40" s="24"/>
      <c r="L40" s="25"/>
      <c r="M40" s="26"/>
      <c r="N40" s="26"/>
      <c r="O40" s="24"/>
      <c r="P40" s="27"/>
      <c r="Q40" s="24"/>
      <c r="R40" s="123"/>
    </row>
    <row r="41" spans="1:18" x14ac:dyDescent="0.35">
      <c r="A41" s="71" t="str">
        <f>IF(TRIM(G41)&lt;&gt;"",COUNTA(G$11:$G41)&amp;"","")</f>
        <v>17</v>
      </c>
      <c r="B41" s="72"/>
      <c r="C41" s="72"/>
      <c r="D41" s="34"/>
      <c r="E41" s="56" t="s">
        <v>593</v>
      </c>
      <c r="F41" s="73">
        <f>58/1.33</f>
        <v>43.609022556390975</v>
      </c>
      <c r="G41" s="74" t="s">
        <v>192</v>
      </c>
      <c r="H41" s="22">
        <f t="shared" si="19"/>
        <v>0</v>
      </c>
      <c r="I41" s="51">
        <f t="shared" si="20"/>
        <v>43.609022556390975</v>
      </c>
      <c r="J41" s="23">
        <v>0.88</v>
      </c>
      <c r="K41" s="24">
        <f t="shared" si="22"/>
        <v>38.375939849624061</v>
      </c>
      <c r="L41" s="25">
        <f t="shared" si="23"/>
        <v>74</v>
      </c>
      <c r="M41" s="26">
        <v>2.5000000000000001E-2</v>
      </c>
      <c r="N41" s="26">
        <f t="shared" si="25"/>
        <v>1.0902255639097744</v>
      </c>
      <c r="O41" s="24">
        <f t="shared" si="26"/>
        <v>80.676691729323309</v>
      </c>
      <c r="P41" s="27">
        <f t="shared" si="27"/>
        <v>2.73</v>
      </c>
      <c r="Q41" s="24">
        <f t="shared" si="28"/>
        <v>119.05263157894736</v>
      </c>
      <c r="R41" s="123"/>
    </row>
    <row r="42" spans="1:18" s="2" customFormat="1" ht="16" thickBot="1" x14ac:dyDescent="0.4">
      <c r="A42" s="71" t="str">
        <f>IF(TRIM(G42)&lt;&gt;"",COUNTA(G$11:$G42)&amp;"","")</f>
        <v/>
      </c>
      <c r="B42" s="1"/>
      <c r="C42" s="1"/>
      <c r="D42" s="20"/>
      <c r="E42" s="19"/>
      <c r="F42" s="73"/>
      <c r="G42" s="74"/>
      <c r="H42" s="22" t="str">
        <f t="shared" si="19"/>
        <v/>
      </c>
      <c r="I42" s="51" t="str">
        <f t="shared" si="20"/>
        <v/>
      </c>
      <c r="J42" s="23" t="str">
        <f t="shared" si="21"/>
        <v/>
      </c>
      <c r="K42" s="24" t="str">
        <f t="shared" si="22"/>
        <v/>
      </c>
      <c r="L42" s="25" t="str">
        <f t="shared" si="23"/>
        <v/>
      </c>
      <c r="M42" s="26" t="str">
        <f t="shared" si="24"/>
        <v/>
      </c>
      <c r="N42" s="26" t="str">
        <f t="shared" si="25"/>
        <v/>
      </c>
      <c r="O42" s="24" t="str">
        <f t="shared" si="26"/>
        <v/>
      </c>
      <c r="P42" s="27" t="str">
        <f t="shared" si="27"/>
        <v/>
      </c>
      <c r="Q42" s="24" t="str">
        <f t="shared" si="28"/>
        <v/>
      </c>
      <c r="R42" s="126"/>
    </row>
    <row r="43" spans="1:18" s="2" customFormat="1" ht="16" thickBot="1" x14ac:dyDescent="0.4">
      <c r="A43" s="84" t="str">
        <f>IF(TRIM(G43)&lt;&gt;"",COUNTA(G$11:$G43)&amp;"","")</f>
        <v/>
      </c>
      <c r="B43" s="1"/>
      <c r="C43" s="1"/>
      <c r="D43" s="20"/>
      <c r="E43" s="19"/>
      <c r="F43" s="179"/>
      <c r="G43" s="190"/>
      <c r="H43" s="85" t="s">
        <v>12</v>
      </c>
      <c r="I43" s="86"/>
      <c r="J43" s="87">
        <f>SUM(K$20:K$42)</f>
        <v>11397.419614849623</v>
      </c>
      <c r="K43" s="311" t="s">
        <v>13</v>
      </c>
      <c r="L43" s="312"/>
      <c r="M43" s="87">
        <f>SUM(O$20:O$42)</f>
        <v>7952.6365927293227</v>
      </c>
      <c r="N43" s="311" t="s">
        <v>42</v>
      </c>
      <c r="O43" s="312"/>
      <c r="P43" s="89">
        <f>SUM(N$20:N$42)</f>
        <v>107.46806206390978</v>
      </c>
      <c r="Q43" s="191" t="s">
        <v>187</v>
      </c>
      <c r="R43" s="88">
        <f>SUM(Q$20:Q$42)</f>
        <v>19350.056207578946</v>
      </c>
    </row>
    <row r="44" spans="1:18" ht="25" customHeight="1" thickBot="1" x14ac:dyDescent="0.4">
      <c r="A44" s="181" t="str">
        <f>IF(TRIM(G44)&lt;&gt;"",COUNTA(G$11:$G44)&amp;"","")</f>
        <v/>
      </c>
      <c r="B44" s="182"/>
      <c r="C44" s="183" t="s">
        <v>120</v>
      </c>
      <c r="D44" s="204" t="s">
        <v>114</v>
      </c>
      <c r="E44" s="193" t="s">
        <v>51</v>
      </c>
      <c r="F44" s="194"/>
      <c r="G44" s="184"/>
      <c r="H44" s="182" t="str">
        <f t="shared" ref="H44:H45" si="53">IF(F44=0,"",0)</f>
        <v/>
      </c>
      <c r="I44" s="184" t="str">
        <f t="shared" ref="I44:I45" si="54">IF(F44=0,"",F44+(F44*H44))</f>
        <v/>
      </c>
      <c r="J44" s="182" t="str">
        <f t="shared" ref="J44:J45" si="55">IF(F44=0,"",0)</f>
        <v/>
      </c>
      <c r="K44" s="182" t="str">
        <f t="shared" ref="K44:K45" si="56">IF(F44=0,"",J44*I44)</f>
        <v/>
      </c>
      <c r="L44" s="202">
        <v>78</v>
      </c>
      <c r="M44" s="182" t="str">
        <f t="shared" ref="M44:M45" si="57">IF(F44=0,"",0)</f>
        <v/>
      </c>
      <c r="N44" s="182" t="str">
        <f t="shared" ref="N44:N45" si="58">IF(F44=0,"",M44*I44)</f>
        <v/>
      </c>
      <c r="O44" s="182" t="str">
        <f t="shared" ref="O44:O45" si="59">IF(F44=0,"",N44*L44)</f>
        <v/>
      </c>
      <c r="P44" s="182" t="str">
        <f t="shared" ref="P44" si="60">IF(F44=0,"",K44+O44)</f>
        <v/>
      </c>
      <c r="Q44" s="182"/>
      <c r="R44" s="185"/>
    </row>
    <row r="45" spans="1:18" s="18" customFormat="1" ht="19.25" customHeight="1" x14ac:dyDescent="0.35">
      <c r="A45" s="71" t="str">
        <f>IF(TRIM(G45)&lt;&gt;"",COUNTA(G$11:$G45)&amp;"","")</f>
        <v/>
      </c>
      <c r="B45" s="33"/>
      <c r="C45" s="33"/>
      <c r="D45" s="207" t="s">
        <v>68</v>
      </c>
      <c r="E45" s="205" t="s">
        <v>67</v>
      </c>
      <c r="F45" s="73"/>
      <c r="G45" s="74"/>
      <c r="H45" s="22" t="str">
        <f t="shared" si="53"/>
        <v/>
      </c>
      <c r="I45" s="51" t="str">
        <f t="shared" si="54"/>
        <v/>
      </c>
      <c r="J45" s="23" t="str">
        <f t="shared" si="55"/>
        <v/>
      </c>
      <c r="K45" s="24" t="str">
        <f t="shared" si="56"/>
        <v/>
      </c>
      <c r="L45" s="25" t="str">
        <f t="shared" ref="L45" si="61">IF(F45=0,"",L$44)</f>
        <v/>
      </c>
      <c r="M45" s="26" t="str">
        <f t="shared" si="57"/>
        <v/>
      </c>
      <c r="N45" s="26" t="str">
        <f t="shared" si="58"/>
        <v/>
      </c>
      <c r="O45" s="24" t="str">
        <f t="shared" si="59"/>
        <v/>
      </c>
      <c r="P45" s="27" t="str">
        <f t="shared" ref="P45" si="62">IF(F45=0,"",(K45+O45)/I45)</f>
        <v/>
      </c>
      <c r="Q45" s="24" t="str">
        <f t="shared" ref="Q45" si="63">IF(F45=0,"",(P45*I45))</f>
        <v/>
      </c>
      <c r="R45" s="125"/>
    </row>
    <row r="46" spans="1:18" x14ac:dyDescent="0.35">
      <c r="A46" s="71" t="str">
        <f>IF(TRIM(G46)&lt;&gt;"",COUNTA(G$11:$G46)&amp;"","")</f>
        <v/>
      </c>
      <c r="B46" s="72"/>
      <c r="C46" s="72"/>
      <c r="D46" s="34"/>
      <c r="E46" s="268" t="s">
        <v>512</v>
      </c>
      <c r="F46" s="73"/>
      <c r="G46" s="74"/>
      <c r="H46" s="22"/>
      <c r="I46" s="51"/>
      <c r="J46" s="23"/>
      <c r="K46" s="24"/>
      <c r="L46" s="25"/>
      <c r="M46" s="26"/>
      <c r="N46" s="26"/>
      <c r="O46" s="24"/>
      <c r="P46" s="27"/>
      <c r="Q46" s="24"/>
      <c r="R46" s="123"/>
    </row>
    <row r="47" spans="1:18" x14ac:dyDescent="0.35">
      <c r="A47" s="71" t="str">
        <f>IF(TRIM(G47)&lt;&gt;"",COUNTA(G$11:$G47)&amp;"","")</f>
        <v/>
      </c>
      <c r="B47" s="303" t="s">
        <v>611</v>
      </c>
      <c r="C47" s="303" t="s">
        <v>611</v>
      </c>
      <c r="D47" s="34"/>
      <c r="E47" s="259" t="s">
        <v>513</v>
      </c>
      <c r="F47" s="73"/>
      <c r="G47" s="74"/>
      <c r="H47" s="22"/>
      <c r="I47" s="51"/>
      <c r="J47" s="23"/>
      <c r="K47" s="24"/>
      <c r="L47" s="25"/>
      <c r="M47" s="26"/>
      <c r="N47" s="26"/>
      <c r="O47" s="24"/>
      <c r="P47" s="27"/>
      <c r="Q47" s="24"/>
      <c r="R47" s="123"/>
    </row>
    <row r="48" spans="1:18" x14ac:dyDescent="0.35">
      <c r="A48" s="71" t="str">
        <f>IF(TRIM(G48)&lt;&gt;"",COUNTA(G$11:$G48)&amp;"","")</f>
        <v>18</v>
      </c>
      <c r="B48" s="304"/>
      <c r="C48" s="304"/>
      <c r="D48" s="34"/>
      <c r="E48" s="259" t="s">
        <v>515</v>
      </c>
      <c r="F48" s="255">
        <v>201.15</v>
      </c>
      <c r="G48" s="260" t="s">
        <v>154</v>
      </c>
      <c r="H48" s="22"/>
      <c r="I48" s="51"/>
      <c r="J48" s="23"/>
      <c r="K48" s="24"/>
      <c r="L48" s="25"/>
      <c r="M48" s="26"/>
      <c r="N48" s="26"/>
      <c r="O48" s="24"/>
      <c r="P48" s="27"/>
      <c r="Q48" s="24"/>
      <c r="R48" s="123"/>
    </row>
    <row r="49" spans="1:18" x14ac:dyDescent="0.35">
      <c r="A49" s="71" t="str">
        <f>IF(TRIM(G49)&lt;&gt;"",COUNTA(G$11:$G49)&amp;"","")</f>
        <v>19</v>
      </c>
      <c r="B49" s="304"/>
      <c r="C49" s="304"/>
      <c r="D49" s="34"/>
      <c r="E49" s="56" t="s">
        <v>517</v>
      </c>
      <c r="F49" s="73">
        <f>F48/1.33</f>
        <v>151.24060150375939</v>
      </c>
      <c r="G49" s="74" t="s">
        <v>192</v>
      </c>
      <c r="H49" s="22">
        <v>0.05</v>
      </c>
      <c r="I49" s="51">
        <f t="shared" ref="I49:I53" si="64">IF(F49=0,"",F49+(F49*H49))</f>
        <v>158.80263157894737</v>
      </c>
      <c r="J49" s="23">
        <f>0.78*(104/12)</f>
        <v>6.76</v>
      </c>
      <c r="K49" s="24">
        <f t="shared" ref="K49:K51" si="65">IF(F49=0,"",J49*I49)</f>
        <v>1073.5057894736842</v>
      </c>
      <c r="L49" s="25">
        <f>$L$44</f>
        <v>78</v>
      </c>
      <c r="M49" s="26">
        <f>0.0543*(104/12)</f>
        <v>0.47059999999999996</v>
      </c>
      <c r="N49" s="26">
        <f t="shared" ref="N49:N53" si="66">IF(F49=0,"",M49*I49)</f>
        <v>74.732518421052632</v>
      </c>
      <c r="O49" s="24">
        <f t="shared" ref="O49:O53" si="67">IF(F49=0,"",N49*L49)</f>
        <v>5829.1364368421055</v>
      </c>
      <c r="P49" s="27">
        <f t="shared" ref="P49:P53" si="68">IF(F49=0,"",(K49+O49)/I49)</f>
        <v>43.466799999999999</v>
      </c>
      <c r="Q49" s="24">
        <f t="shared" ref="Q49:Q53" si="69">IF(F49=0,"",(P49*I49))</f>
        <v>6902.6422263157892</v>
      </c>
      <c r="R49" s="123"/>
    </row>
    <row r="50" spans="1:18" x14ac:dyDescent="0.35">
      <c r="A50" s="71" t="str">
        <f>IF(TRIM(G50)&lt;&gt;"",COUNTA(G$11:$G50)&amp;"","")</f>
        <v>20</v>
      </c>
      <c r="B50" s="304"/>
      <c r="C50" s="304"/>
      <c r="D50" s="34"/>
      <c r="E50" s="56" t="s">
        <v>516</v>
      </c>
      <c r="F50" s="73">
        <f>(F48*2)/16</f>
        <v>25.143750000000001</v>
      </c>
      <c r="G50" s="74" t="s">
        <v>192</v>
      </c>
      <c r="H50" s="22">
        <v>0.05</v>
      </c>
      <c r="I50" s="51">
        <f t="shared" si="64"/>
        <v>26.400937500000001</v>
      </c>
      <c r="J50" s="23">
        <f>0.78*16</f>
        <v>12.48</v>
      </c>
      <c r="K50" s="24">
        <f t="shared" si="65"/>
        <v>329.4837</v>
      </c>
      <c r="L50" s="25">
        <f>$L$44</f>
        <v>78</v>
      </c>
      <c r="M50" s="26">
        <f>0.0543*16</f>
        <v>0.86880000000000002</v>
      </c>
      <c r="N50" s="26">
        <f t="shared" si="66"/>
        <v>22.937134500000003</v>
      </c>
      <c r="O50" s="24">
        <f t="shared" si="67"/>
        <v>1789.0964910000002</v>
      </c>
      <c r="P50" s="27">
        <f t="shared" si="68"/>
        <v>80.246399999999994</v>
      </c>
      <c r="Q50" s="24">
        <f t="shared" si="69"/>
        <v>2118.580191</v>
      </c>
      <c r="R50" s="123"/>
    </row>
    <row r="51" spans="1:18" x14ac:dyDescent="0.35">
      <c r="A51" s="71" t="str">
        <f>IF(TRIM(G51)&lt;&gt;"",COUNTA(G$11:$G51)&amp;"","")</f>
        <v>21</v>
      </c>
      <c r="B51" s="304"/>
      <c r="C51" s="304"/>
      <c r="D51" s="34"/>
      <c r="E51" s="56" t="s">
        <v>516</v>
      </c>
      <c r="F51" s="73">
        <f>F48/16</f>
        <v>12.571875</v>
      </c>
      <c r="G51" s="74" t="s">
        <v>192</v>
      </c>
      <c r="H51" s="22">
        <v>0.05</v>
      </c>
      <c r="I51" s="51">
        <f t="shared" si="64"/>
        <v>13.200468750000001</v>
      </c>
      <c r="J51" s="23">
        <f>0.78*16</f>
        <v>12.48</v>
      </c>
      <c r="K51" s="24">
        <f t="shared" si="65"/>
        <v>164.74185</v>
      </c>
      <c r="L51" s="25">
        <f>$L$44</f>
        <v>78</v>
      </c>
      <c r="M51" s="26">
        <f>0.0543*16</f>
        <v>0.86880000000000002</v>
      </c>
      <c r="N51" s="26">
        <f t="shared" si="66"/>
        <v>11.468567250000001</v>
      </c>
      <c r="O51" s="24">
        <f t="shared" si="67"/>
        <v>894.54824550000012</v>
      </c>
      <c r="P51" s="27">
        <f t="shared" si="68"/>
        <v>80.246399999999994</v>
      </c>
      <c r="Q51" s="24">
        <f t="shared" si="69"/>
        <v>1059.2900955</v>
      </c>
      <c r="R51" s="123"/>
    </row>
    <row r="52" spans="1:18" x14ac:dyDescent="0.35">
      <c r="A52" s="71" t="str">
        <f>IF(TRIM(G52)&lt;&gt;"",COUNTA(G$11:$G52)&amp;"","")</f>
        <v>22</v>
      </c>
      <c r="B52" s="304"/>
      <c r="C52" s="304"/>
      <c r="D52" s="34"/>
      <c r="E52" s="56" t="s">
        <v>518</v>
      </c>
      <c r="F52" s="73">
        <f>F48/16</f>
        <v>12.571875</v>
      </c>
      <c r="G52" s="74" t="s">
        <v>192</v>
      </c>
      <c r="H52" s="22">
        <v>0.05</v>
      </c>
      <c r="I52" s="51">
        <f t="shared" si="64"/>
        <v>13.200468750000001</v>
      </c>
      <c r="J52" s="23">
        <f>0.78*16</f>
        <v>12.48</v>
      </c>
      <c r="K52" s="24">
        <f t="shared" ref="K52" si="70">IF(F52=0,"",J52*I52)</f>
        <v>164.74185</v>
      </c>
      <c r="L52" s="25">
        <f>$L$44</f>
        <v>78</v>
      </c>
      <c r="M52" s="26">
        <f>0.0543*16</f>
        <v>0.86880000000000002</v>
      </c>
      <c r="N52" s="26">
        <f t="shared" si="66"/>
        <v>11.468567250000001</v>
      </c>
      <c r="O52" s="24">
        <f t="shared" si="67"/>
        <v>894.54824550000012</v>
      </c>
      <c r="P52" s="27">
        <f t="shared" si="68"/>
        <v>80.246399999999994</v>
      </c>
      <c r="Q52" s="24">
        <f t="shared" si="69"/>
        <v>1059.2900955</v>
      </c>
      <c r="R52" s="123"/>
    </row>
    <row r="53" spans="1:18" x14ac:dyDescent="0.35">
      <c r="A53" s="71" t="str">
        <f>IF(TRIM(G53)&lt;&gt;"",COUNTA(G$11:$G53)&amp;"","")</f>
        <v>23</v>
      </c>
      <c r="B53" s="304"/>
      <c r="C53" s="304"/>
      <c r="D53" s="34"/>
      <c r="E53" s="56" t="s">
        <v>541</v>
      </c>
      <c r="F53" s="73">
        <f>(F48*9)/32</f>
        <v>56.573437500000004</v>
      </c>
      <c r="G53" s="74" t="s">
        <v>192</v>
      </c>
      <c r="H53" s="22">
        <v>0.05</v>
      </c>
      <c r="I53" s="51">
        <f t="shared" si="64"/>
        <v>59.402109375000002</v>
      </c>
      <c r="J53" s="23">
        <f>44.05</f>
        <v>44.05</v>
      </c>
      <c r="K53" s="24">
        <f t="shared" ref="K53" si="71">IF(F53=0,"",J53*I53)</f>
        <v>2616.6629179687498</v>
      </c>
      <c r="L53" s="25">
        <f>$L$44</f>
        <v>78</v>
      </c>
      <c r="M53" s="26">
        <f>0.022*32</f>
        <v>0.70399999999999996</v>
      </c>
      <c r="N53" s="26">
        <f t="shared" si="66"/>
        <v>41.819085000000001</v>
      </c>
      <c r="O53" s="24">
        <f t="shared" si="67"/>
        <v>3261.8886299999999</v>
      </c>
      <c r="P53" s="27">
        <f t="shared" si="68"/>
        <v>98.961999999999989</v>
      </c>
      <c r="Q53" s="24">
        <f t="shared" si="69"/>
        <v>5878.5515479687492</v>
      </c>
      <c r="R53" s="123"/>
    </row>
    <row r="54" spans="1:18" x14ac:dyDescent="0.35">
      <c r="A54" s="71" t="str">
        <f>IF(TRIM(G54)&lt;&gt;"",COUNTA(G$11:$G54)&amp;"","")</f>
        <v/>
      </c>
      <c r="B54" s="304"/>
      <c r="C54" s="304"/>
      <c r="D54" s="34"/>
      <c r="E54" s="56"/>
      <c r="F54" s="73"/>
      <c r="G54" s="74"/>
      <c r="H54" s="22"/>
      <c r="I54" s="51"/>
      <c r="J54" s="23"/>
      <c r="K54" s="24"/>
      <c r="L54" s="25"/>
      <c r="M54" s="26"/>
      <c r="N54" s="26"/>
      <c r="O54" s="24"/>
      <c r="P54" s="27"/>
      <c r="Q54" s="24"/>
      <c r="R54" s="123"/>
    </row>
    <row r="55" spans="1:18" x14ac:dyDescent="0.35">
      <c r="A55" s="71" t="str">
        <f>IF(TRIM(G55)&lt;&gt;"",COUNTA(G$11:$G55)&amp;"","")</f>
        <v>24</v>
      </c>
      <c r="B55" s="304"/>
      <c r="C55" s="304"/>
      <c r="D55" s="34"/>
      <c r="E55" s="259" t="s">
        <v>520</v>
      </c>
      <c r="F55" s="255">
        <v>288.75</v>
      </c>
      <c r="G55" s="260" t="s">
        <v>154</v>
      </c>
      <c r="H55" s="22"/>
      <c r="I55" s="51"/>
      <c r="J55" s="23"/>
      <c r="K55" s="24"/>
      <c r="L55" s="25"/>
      <c r="M55" s="26"/>
      <c r="N55" s="26"/>
      <c r="O55" s="24"/>
      <c r="P55" s="27"/>
      <c r="Q55" s="24"/>
      <c r="R55" s="123"/>
    </row>
    <row r="56" spans="1:18" x14ac:dyDescent="0.35">
      <c r="A56" s="71" t="str">
        <f>IF(TRIM(G56)&lt;&gt;"",COUNTA(G$11:$G56)&amp;"","")</f>
        <v>25</v>
      </c>
      <c r="B56" s="304"/>
      <c r="C56" s="304"/>
      <c r="D56" s="34"/>
      <c r="E56" s="56" t="s">
        <v>521</v>
      </c>
      <c r="F56" s="73">
        <f>F55/1.33</f>
        <v>217.10526315789471</v>
      </c>
      <c r="G56" s="74" t="s">
        <v>192</v>
      </c>
      <c r="H56" s="22">
        <v>0.05</v>
      </c>
      <c r="I56" s="51">
        <f t="shared" ref="I56:I59" si="72">IF(F56=0,"",F56+(F56*H56))</f>
        <v>227.96052631578945</v>
      </c>
      <c r="J56" s="23">
        <f>0.48*(104/12)</f>
        <v>4.1599999999999993</v>
      </c>
      <c r="K56" s="24">
        <f t="shared" ref="K56:K58" si="73">IF(F56=0,"",J56*I56)</f>
        <v>948.31578947368394</v>
      </c>
      <c r="L56" s="25">
        <f t="shared" ref="L56:L59" si="74">$L$44</f>
        <v>78</v>
      </c>
      <c r="M56" s="26">
        <f>0.0475*(104/12)</f>
        <v>0.41166666666666663</v>
      </c>
      <c r="N56" s="26">
        <f t="shared" ref="N56:N59" si="75">IF(F56=0,"",M56*I56)</f>
        <v>93.843749999999986</v>
      </c>
      <c r="O56" s="24">
        <f t="shared" ref="O56:O59" si="76">IF(F56=0,"",N56*L56)</f>
        <v>7319.8124999999991</v>
      </c>
      <c r="P56" s="27">
        <f t="shared" ref="P56:P59" si="77">IF(F56=0,"",(K56+O56)/I56)</f>
        <v>36.269999999999996</v>
      </c>
      <c r="Q56" s="24">
        <f t="shared" ref="Q56:Q59" si="78">IF(F56=0,"",(P56*I56))</f>
        <v>8268.1282894736833</v>
      </c>
      <c r="R56" s="24"/>
    </row>
    <row r="57" spans="1:18" x14ac:dyDescent="0.35">
      <c r="A57" s="71" t="str">
        <f>IF(TRIM(G57)&lt;&gt;"",COUNTA(G$11:$G57)&amp;"","")</f>
        <v>26</v>
      </c>
      <c r="B57" s="304"/>
      <c r="C57" s="304"/>
      <c r="D57" s="34"/>
      <c r="E57" s="56" t="s">
        <v>522</v>
      </c>
      <c r="F57" s="73">
        <f>(F55*2)/16</f>
        <v>36.09375</v>
      </c>
      <c r="G57" s="74" t="s">
        <v>192</v>
      </c>
      <c r="H57" s="22">
        <v>0.05</v>
      </c>
      <c r="I57" s="51">
        <f t="shared" si="72"/>
        <v>37.8984375</v>
      </c>
      <c r="J57" s="23">
        <f>0.48*16</f>
        <v>7.68</v>
      </c>
      <c r="K57" s="24">
        <f t="shared" si="73"/>
        <v>291.06</v>
      </c>
      <c r="L57" s="25">
        <f t="shared" si="74"/>
        <v>78</v>
      </c>
      <c r="M57" s="26">
        <f>0.0475*16</f>
        <v>0.76</v>
      </c>
      <c r="N57" s="26">
        <f t="shared" si="75"/>
        <v>28.802812500000002</v>
      </c>
      <c r="O57" s="24">
        <f t="shared" si="76"/>
        <v>2246.6193750000002</v>
      </c>
      <c r="P57" s="27">
        <f t="shared" si="77"/>
        <v>66.960000000000008</v>
      </c>
      <c r="Q57" s="24">
        <f t="shared" si="78"/>
        <v>2537.6793750000002</v>
      </c>
      <c r="R57" s="123"/>
    </row>
    <row r="58" spans="1:18" x14ac:dyDescent="0.35">
      <c r="A58" s="71" t="str">
        <f>IF(TRIM(G58)&lt;&gt;"",COUNTA(G$11:$G58)&amp;"","")</f>
        <v>27</v>
      </c>
      <c r="B58" s="304"/>
      <c r="C58" s="304"/>
      <c r="D58" s="34"/>
      <c r="E58" s="56" t="s">
        <v>522</v>
      </c>
      <c r="F58" s="73">
        <f>F55/16</f>
        <v>18.046875</v>
      </c>
      <c r="G58" s="74" t="s">
        <v>192</v>
      </c>
      <c r="H58" s="22">
        <v>0.05</v>
      </c>
      <c r="I58" s="51">
        <f t="shared" si="72"/>
        <v>18.94921875</v>
      </c>
      <c r="J58" s="23">
        <f>0.48*16</f>
        <v>7.68</v>
      </c>
      <c r="K58" s="24">
        <f t="shared" si="73"/>
        <v>145.53</v>
      </c>
      <c r="L58" s="25">
        <f t="shared" si="74"/>
        <v>78</v>
      </c>
      <c r="M58" s="26">
        <f>0.0475*16</f>
        <v>0.76</v>
      </c>
      <c r="N58" s="26">
        <f t="shared" si="75"/>
        <v>14.401406250000001</v>
      </c>
      <c r="O58" s="24">
        <f t="shared" si="76"/>
        <v>1123.3096875000001</v>
      </c>
      <c r="P58" s="27">
        <f t="shared" si="77"/>
        <v>66.960000000000008</v>
      </c>
      <c r="Q58" s="24">
        <f t="shared" si="78"/>
        <v>1268.8396875000001</v>
      </c>
      <c r="R58" s="123"/>
    </row>
    <row r="59" spans="1:18" x14ac:dyDescent="0.35">
      <c r="A59" s="71" t="str">
        <f>IF(TRIM(G59)&lt;&gt;"",COUNTA(G$11:$G59)&amp;"","")</f>
        <v>28</v>
      </c>
      <c r="B59" s="304"/>
      <c r="C59" s="304"/>
      <c r="D59" s="34"/>
      <c r="E59" s="56" t="s">
        <v>523</v>
      </c>
      <c r="F59" s="73">
        <f>F55/16</f>
        <v>18.046875</v>
      </c>
      <c r="G59" s="74" t="s">
        <v>192</v>
      </c>
      <c r="H59" s="22">
        <v>0.05</v>
      </c>
      <c r="I59" s="51">
        <f t="shared" si="72"/>
        <v>18.94921875</v>
      </c>
      <c r="J59" s="23">
        <f>0.48*16</f>
        <v>7.68</v>
      </c>
      <c r="K59" s="24">
        <f t="shared" ref="K59" si="79">IF(F59=0,"",J59*I59)</f>
        <v>145.53</v>
      </c>
      <c r="L59" s="25">
        <f t="shared" si="74"/>
        <v>78</v>
      </c>
      <c r="M59" s="26">
        <f>0.0475*16</f>
        <v>0.76</v>
      </c>
      <c r="N59" s="26">
        <f t="shared" si="75"/>
        <v>14.401406250000001</v>
      </c>
      <c r="O59" s="24">
        <f t="shared" si="76"/>
        <v>1123.3096875000001</v>
      </c>
      <c r="P59" s="27">
        <f t="shared" si="77"/>
        <v>66.960000000000008</v>
      </c>
      <c r="Q59" s="24">
        <f t="shared" si="78"/>
        <v>1268.8396875000001</v>
      </c>
      <c r="R59" s="123"/>
    </row>
    <row r="60" spans="1:18" x14ac:dyDescent="0.35">
      <c r="A60" s="71" t="str">
        <f>IF(TRIM(G60)&lt;&gt;"",COUNTA(G$11:$G60)&amp;"","")</f>
        <v/>
      </c>
      <c r="B60" s="304"/>
      <c r="C60" s="304"/>
      <c r="D60" s="34"/>
      <c r="E60" s="56"/>
      <c r="F60" s="73"/>
      <c r="G60" s="74"/>
      <c r="H60" s="22"/>
      <c r="I60" s="51"/>
      <c r="J60" s="23"/>
      <c r="K60" s="24"/>
      <c r="L60" s="25"/>
      <c r="M60" s="26"/>
      <c r="N60" s="26"/>
      <c r="O60" s="24"/>
      <c r="P60" s="27"/>
      <c r="Q60" s="24"/>
      <c r="R60" s="123"/>
    </row>
    <row r="61" spans="1:18" x14ac:dyDescent="0.35">
      <c r="A61" s="71" t="str">
        <f>IF(TRIM(G61)&lt;&gt;"",COUNTA(G$11:$G61)&amp;"","")</f>
        <v>29</v>
      </c>
      <c r="B61" s="304"/>
      <c r="C61" s="304"/>
      <c r="D61" s="34"/>
      <c r="E61" s="259" t="s">
        <v>520</v>
      </c>
      <c r="F61" s="255">
        <v>12.36</v>
      </c>
      <c r="G61" s="260" t="s">
        <v>154</v>
      </c>
      <c r="H61" s="22"/>
      <c r="I61" s="51"/>
      <c r="J61" s="23"/>
      <c r="K61" s="24"/>
      <c r="L61" s="25"/>
      <c r="M61" s="26"/>
      <c r="N61" s="26"/>
      <c r="O61" s="24"/>
      <c r="P61" s="27"/>
      <c r="Q61" s="24"/>
      <c r="R61" s="123"/>
    </row>
    <row r="62" spans="1:18" x14ac:dyDescent="0.35">
      <c r="A62" s="71" t="str">
        <f>IF(TRIM(G62)&lt;&gt;"",COUNTA(G$11:$G62)&amp;"","")</f>
        <v>30</v>
      </c>
      <c r="B62" s="304"/>
      <c r="C62" s="304"/>
      <c r="D62" s="34"/>
      <c r="E62" s="56" t="s">
        <v>524</v>
      </c>
      <c r="F62" s="73">
        <f>F61/1.33</f>
        <v>9.2932330827067666</v>
      </c>
      <c r="G62" s="74" t="s">
        <v>192</v>
      </c>
      <c r="H62" s="22">
        <v>0.05</v>
      </c>
      <c r="I62" s="51">
        <f t="shared" ref="I62:I65" si="80">IF(F62=0,"",F62+(F62*H62))</f>
        <v>9.7578947368421041</v>
      </c>
      <c r="J62" s="23">
        <f>0.48*(104/12)</f>
        <v>4.1599999999999993</v>
      </c>
      <c r="K62" s="24">
        <f t="shared" ref="K62:K65" si="81">IF(F62=0,"",J62*I62)</f>
        <v>40.592842105263145</v>
      </c>
      <c r="L62" s="25">
        <f t="shared" ref="L62:L65" si="82">$L$44</f>
        <v>78</v>
      </c>
      <c r="M62" s="26">
        <f>0.0475*(104/12)</f>
        <v>0.41166666666666663</v>
      </c>
      <c r="N62" s="26">
        <f t="shared" ref="N62:N65" si="83">IF(F62=0,"",M62*I62)</f>
        <v>4.0169999999999995</v>
      </c>
      <c r="O62" s="24">
        <f t="shared" ref="O62:O65" si="84">IF(F62=0,"",N62*L62)</f>
        <v>313.32599999999996</v>
      </c>
      <c r="P62" s="27">
        <f t="shared" ref="P62:P65" si="85">IF(F62=0,"",(K62+O62)/I62)</f>
        <v>36.270000000000003</v>
      </c>
      <c r="Q62" s="24">
        <f t="shared" ref="Q62:Q65" si="86">IF(F62=0,"",(P62*I62))</f>
        <v>353.91884210526314</v>
      </c>
      <c r="R62" s="123"/>
    </row>
    <row r="63" spans="1:18" x14ac:dyDescent="0.35">
      <c r="A63" s="71" t="str">
        <f>IF(TRIM(G63)&lt;&gt;"",COUNTA(G$11:$G63)&amp;"","")</f>
        <v>31</v>
      </c>
      <c r="B63" s="304"/>
      <c r="C63" s="304"/>
      <c r="D63" s="34"/>
      <c r="E63" s="56" t="s">
        <v>522</v>
      </c>
      <c r="F63" s="73">
        <f>(F61*2)/16</f>
        <v>1.5449999999999999</v>
      </c>
      <c r="G63" s="74" t="s">
        <v>192</v>
      </c>
      <c r="H63" s="22">
        <v>0.05</v>
      </c>
      <c r="I63" s="51">
        <f t="shared" si="80"/>
        <v>1.62225</v>
      </c>
      <c r="J63" s="23">
        <f>0.48*16</f>
        <v>7.68</v>
      </c>
      <c r="K63" s="24">
        <f t="shared" si="81"/>
        <v>12.458879999999999</v>
      </c>
      <c r="L63" s="25">
        <f t="shared" si="82"/>
        <v>78</v>
      </c>
      <c r="M63" s="26">
        <f>0.0475*16</f>
        <v>0.76</v>
      </c>
      <c r="N63" s="26">
        <f t="shared" si="83"/>
        <v>1.23291</v>
      </c>
      <c r="O63" s="24">
        <f t="shared" si="84"/>
        <v>96.166979999999995</v>
      </c>
      <c r="P63" s="27">
        <f t="shared" si="85"/>
        <v>66.959999999999994</v>
      </c>
      <c r="Q63" s="24">
        <f t="shared" si="86"/>
        <v>108.62585999999999</v>
      </c>
      <c r="R63" s="123"/>
    </row>
    <row r="64" spans="1:18" x14ac:dyDescent="0.35">
      <c r="A64" s="71" t="str">
        <f>IF(TRIM(G64)&lt;&gt;"",COUNTA(G$11:$G64)&amp;"","")</f>
        <v>32</v>
      </c>
      <c r="B64" s="304"/>
      <c r="C64" s="304"/>
      <c r="D64" s="34"/>
      <c r="E64" s="56" t="s">
        <v>522</v>
      </c>
      <c r="F64" s="73">
        <f>F61/16</f>
        <v>0.77249999999999996</v>
      </c>
      <c r="G64" s="74" t="s">
        <v>192</v>
      </c>
      <c r="H64" s="22">
        <v>0.05</v>
      </c>
      <c r="I64" s="51">
        <f t="shared" si="80"/>
        <v>0.81112499999999998</v>
      </c>
      <c r="J64" s="23">
        <f>0.48*16</f>
        <v>7.68</v>
      </c>
      <c r="K64" s="24">
        <f t="shared" si="81"/>
        <v>6.2294399999999994</v>
      </c>
      <c r="L64" s="25">
        <f t="shared" si="82"/>
        <v>78</v>
      </c>
      <c r="M64" s="26">
        <f>0.0475*16</f>
        <v>0.76</v>
      </c>
      <c r="N64" s="26">
        <f t="shared" si="83"/>
        <v>0.61645499999999998</v>
      </c>
      <c r="O64" s="24">
        <f t="shared" si="84"/>
        <v>48.083489999999998</v>
      </c>
      <c r="P64" s="27">
        <f t="shared" si="85"/>
        <v>66.959999999999994</v>
      </c>
      <c r="Q64" s="24">
        <f t="shared" si="86"/>
        <v>54.312929999999994</v>
      </c>
      <c r="R64" s="123"/>
    </row>
    <row r="65" spans="1:18" x14ac:dyDescent="0.35">
      <c r="A65" s="71" t="str">
        <f>IF(TRIM(G65)&lt;&gt;"",COUNTA(G$11:$G65)&amp;"","")</f>
        <v>33</v>
      </c>
      <c r="B65" s="304"/>
      <c r="C65" s="304"/>
      <c r="D65" s="34"/>
      <c r="E65" s="56" t="s">
        <v>523</v>
      </c>
      <c r="F65" s="73">
        <f>F61/16</f>
        <v>0.77249999999999996</v>
      </c>
      <c r="G65" s="74" t="s">
        <v>192</v>
      </c>
      <c r="H65" s="22">
        <v>0.05</v>
      </c>
      <c r="I65" s="51">
        <f t="shared" si="80"/>
        <v>0.81112499999999998</v>
      </c>
      <c r="J65" s="23">
        <f>0.48*16</f>
        <v>7.68</v>
      </c>
      <c r="K65" s="24">
        <f t="shared" si="81"/>
        <v>6.2294399999999994</v>
      </c>
      <c r="L65" s="25">
        <f t="shared" si="82"/>
        <v>78</v>
      </c>
      <c r="M65" s="26">
        <f>0.0475*16</f>
        <v>0.76</v>
      </c>
      <c r="N65" s="26">
        <f t="shared" si="83"/>
        <v>0.61645499999999998</v>
      </c>
      <c r="O65" s="24">
        <f t="shared" si="84"/>
        <v>48.083489999999998</v>
      </c>
      <c r="P65" s="27">
        <f t="shared" si="85"/>
        <v>66.959999999999994</v>
      </c>
      <c r="Q65" s="24">
        <f t="shared" si="86"/>
        <v>54.312929999999994</v>
      </c>
      <c r="R65" s="123"/>
    </row>
    <row r="66" spans="1:18" x14ac:dyDescent="0.35">
      <c r="A66" s="71" t="str">
        <f>IF(TRIM(G66)&lt;&gt;"",COUNTA(G$11:$G66)&amp;"","")</f>
        <v/>
      </c>
      <c r="B66" s="304"/>
      <c r="C66" s="304"/>
      <c r="D66" s="34"/>
      <c r="E66" s="56"/>
      <c r="F66" s="73"/>
      <c r="G66" s="74"/>
      <c r="H66" s="22"/>
      <c r="I66" s="51"/>
      <c r="J66" s="23"/>
      <c r="K66" s="24"/>
      <c r="L66" s="25"/>
      <c r="M66" s="26"/>
      <c r="N66" s="26"/>
      <c r="O66" s="24"/>
      <c r="P66" s="27"/>
      <c r="Q66" s="24"/>
      <c r="R66" s="123"/>
    </row>
    <row r="67" spans="1:18" x14ac:dyDescent="0.35">
      <c r="A67" s="71" t="str">
        <f>IF(TRIM(G67)&lt;&gt;"",COUNTA(G$11:$G67)&amp;"","")</f>
        <v/>
      </c>
      <c r="B67" s="304"/>
      <c r="C67" s="304"/>
      <c r="D67" s="34"/>
      <c r="E67" s="259" t="s">
        <v>525</v>
      </c>
      <c r="F67" s="73"/>
      <c r="G67" s="74"/>
      <c r="H67" s="22"/>
      <c r="I67" s="51"/>
      <c r="J67" s="23"/>
      <c r="K67" s="24"/>
      <c r="L67" s="25"/>
      <c r="M67" s="26"/>
      <c r="N67" s="26"/>
      <c r="O67" s="24"/>
      <c r="P67" s="27"/>
      <c r="Q67" s="24"/>
      <c r="R67" s="123"/>
    </row>
    <row r="68" spans="1:18" x14ac:dyDescent="0.35">
      <c r="A68" s="71" t="str">
        <f>IF(TRIM(G68)&lt;&gt;"",COUNTA(G$11:$G68)&amp;"","")</f>
        <v>34</v>
      </c>
      <c r="B68" s="304"/>
      <c r="C68" s="304"/>
      <c r="D68" s="34"/>
      <c r="E68" s="56" t="s">
        <v>517</v>
      </c>
      <c r="F68" s="73">
        <v>80</v>
      </c>
      <c r="G68" s="74" t="s">
        <v>192</v>
      </c>
      <c r="H68" s="22">
        <v>0.05</v>
      </c>
      <c r="I68" s="51">
        <f t="shared" ref="I68:I71" si="87">IF(F68=0,"",F68+(F68*H68))</f>
        <v>84</v>
      </c>
      <c r="J68" s="23">
        <f>0.78*(104/12)</f>
        <v>6.76</v>
      </c>
      <c r="K68" s="24">
        <f t="shared" ref="K68:K71" si="88">IF(F68=0,"",J68*I68)</f>
        <v>567.84</v>
      </c>
      <c r="L68" s="25">
        <f t="shared" ref="L68:L71" si="89">$L$44</f>
        <v>78</v>
      </c>
      <c r="M68" s="26">
        <f>0.0543*(104/12)</f>
        <v>0.47059999999999996</v>
      </c>
      <c r="N68" s="26">
        <f t="shared" ref="N68:N71" si="90">IF(F68=0,"",M68*I68)</f>
        <v>39.5304</v>
      </c>
      <c r="O68" s="24">
        <f t="shared" ref="O68:O71" si="91">IF(F68=0,"",N68*L68)</f>
        <v>3083.3712</v>
      </c>
      <c r="P68" s="27">
        <f t="shared" ref="P68:P71" si="92">IF(F68=0,"",(K68+O68)/I68)</f>
        <v>43.466799999999999</v>
      </c>
      <c r="Q68" s="24">
        <f t="shared" ref="Q68:Q71" si="93">IF(F68=0,"",(P68*I68))</f>
        <v>3651.2111999999997</v>
      </c>
      <c r="R68" s="123"/>
    </row>
    <row r="69" spans="1:18" x14ac:dyDescent="0.35">
      <c r="A69" s="71" t="str">
        <f>IF(TRIM(G69)&lt;&gt;"",COUNTA(G$11:$G69)&amp;"","")</f>
        <v>35</v>
      </c>
      <c r="B69" s="304"/>
      <c r="C69" s="304"/>
      <c r="D69" s="34"/>
      <c r="E69" s="56" t="s">
        <v>526</v>
      </c>
      <c r="F69" s="73">
        <v>32</v>
      </c>
      <c r="G69" s="74" t="s">
        <v>192</v>
      </c>
      <c r="H69" s="22">
        <v>0.05</v>
      </c>
      <c r="I69" s="51">
        <f t="shared" si="87"/>
        <v>33.6</v>
      </c>
      <c r="J69" s="23">
        <f>0.78*(92/12)</f>
        <v>5.98</v>
      </c>
      <c r="K69" s="24">
        <f t="shared" si="88"/>
        <v>200.92800000000003</v>
      </c>
      <c r="L69" s="25">
        <f t="shared" si="89"/>
        <v>78</v>
      </c>
      <c r="M69" s="26">
        <f>0.0543*(92/12)</f>
        <v>0.4163</v>
      </c>
      <c r="N69" s="26">
        <f t="shared" si="90"/>
        <v>13.987680000000001</v>
      </c>
      <c r="O69" s="24">
        <f t="shared" si="91"/>
        <v>1091.0390400000001</v>
      </c>
      <c r="P69" s="27">
        <f t="shared" si="92"/>
        <v>38.451400000000007</v>
      </c>
      <c r="Q69" s="24">
        <f t="shared" si="93"/>
        <v>1291.9670400000002</v>
      </c>
      <c r="R69" s="123"/>
    </row>
    <row r="70" spans="1:18" x14ac:dyDescent="0.35">
      <c r="A70" s="71" t="str">
        <f>IF(TRIM(G70)&lt;&gt;"",COUNTA(G$11:$G70)&amp;"","")</f>
        <v>36</v>
      </c>
      <c r="B70" s="304"/>
      <c r="C70" s="304"/>
      <c r="D70" s="34"/>
      <c r="E70" s="56" t="s">
        <v>521</v>
      </c>
      <c r="F70" s="73">
        <v>86</v>
      </c>
      <c r="G70" s="74" t="s">
        <v>192</v>
      </c>
      <c r="H70" s="22">
        <v>0.05</v>
      </c>
      <c r="I70" s="51">
        <f t="shared" si="87"/>
        <v>90.3</v>
      </c>
      <c r="J70" s="23">
        <f>0.48*(104/12)</f>
        <v>4.1599999999999993</v>
      </c>
      <c r="K70" s="24">
        <f t="shared" si="88"/>
        <v>375.64799999999991</v>
      </c>
      <c r="L70" s="25">
        <f t="shared" si="89"/>
        <v>78</v>
      </c>
      <c r="M70" s="26">
        <f>0.0475*(104/12)</f>
        <v>0.41166666666666663</v>
      </c>
      <c r="N70" s="26">
        <f t="shared" si="90"/>
        <v>37.173499999999997</v>
      </c>
      <c r="O70" s="24">
        <f t="shared" si="91"/>
        <v>2899.5329999999999</v>
      </c>
      <c r="P70" s="27">
        <f t="shared" si="92"/>
        <v>36.269999999999996</v>
      </c>
      <c r="Q70" s="24">
        <f t="shared" si="93"/>
        <v>3275.1809999999996</v>
      </c>
      <c r="R70" s="123"/>
    </row>
    <row r="71" spans="1:18" x14ac:dyDescent="0.35">
      <c r="A71" s="71" t="str">
        <f>IF(TRIM(G71)&lt;&gt;"",COUNTA(G$11:$G71)&amp;"","")</f>
        <v>37</v>
      </c>
      <c r="B71" s="304"/>
      <c r="C71" s="304"/>
      <c r="D71" s="34"/>
      <c r="E71" s="56" t="s">
        <v>524</v>
      </c>
      <c r="F71" s="73">
        <v>36</v>
      </c>
      <c r="G71" s="74" t="s">
        <v>192</v>
      </c>
      <c r="H71" s="22">
        <v>0.05</v>
      </c>
      <c r="I71" s="51">
        <f t="shared" si="87"/>
        <v>37.799999999999997</v>
      </c>
      <c r="J71" s="23">
        <f>0.48*(92/12)</f>
        <v>3.68</v>
      </c>
      <c r="K71" s="24">
        <f t="shared" si="88"/>
        <v>139.10399999999998</v>
      </c>
      <c r="L71" s="25">
        <f t="shared" si="89"/>
        <v>78</v>
      </c>
      <c r="M71" s="26">
        <f>0.0475*(92/12)</f>
        <v>0.36416666666666669</v>
      </c>
      <c r="N71" s="26">
        <f t="shared" si="90"/>
        <v>13.765499999999999</v>
      </c>
      <c r="O71" s="24">
        <f t="shared" si="91"/>
        <v>1073.7090000000001</v>
      </c>
      <c r="P71" s="27">
        <f t="shared" si="92"/>
        <v>32.085000000000008</v>
      </c>
      <c r="Q71" s="24">
        <f t="shared" si="93"/>
        <v>1212.8130000000001</v>
      </c>
      <c r="R71" s="123"/>
    </row>
    <row r="72" spans="1:18" x14ac:dyDescent="0.35">
      <c r="A72" s="71" t="str">
        <f>IF(TRIM(G72)&lt;&gt;"",COUNTA(G$11:$G72)&amp;"","")</f>
        <v/>
      </c>
      <c r="B72" s="304"/>
      <c r="C72" s="304"/>
      <c r="D72" s="34"/>
      <c r="E72" s="56"/>
      <c r="F72" s="73"/>
      <c r="G72" s="74"/>
      <c r="H72" s="22"/>
      <c r="I72" s="51"/>
      <c r="J72" s="23"/>
      <c r="K72" s="24"/>
      <c r="L72" s="25"/>
      <c r="M72" s="26"/>
      <c r="N72" s="26"/>
      <c r="O72" s="24"/>
      <c r="P72" s="27"/>
      <c r="Q72" s="24"/>
      <c r="R72" s="123"/>
    </row>
    <row r="73" spans="1:18" x14ac:dyDescent="0.35">
      <c r="A73" s="71" t="str">
        <f>IF(TRIM(G73)&lt;&gt;"",COUNTA(G$11:$G73)&amp;"","")</f>
        <v/>
      </c>
      <c r="B73" s="304"/>
      <c r="C73" s="304"/>
      <c r="D73" s="34"/>
      <c r="E73" s="259" t="s">
        <v>528</v>
      </c>
      <c r="F73" s="73"/>
      <c r="G73" s="74"/>
      <c r="H73" s="22"/>
      <c r="I73" s="51"/>
      <c r="J73" s="23"/>
      <c r="K73" s="24"/>
      <c r="L73" s="25"/>
      <c r="M73" s="26"/>
      <c r="N73" s="26"/>
      <c r="O73" s="24"/>
      <c r="P73" s="27"/>
      <c r="Q73" s="24"/>
      <c r="R73" s="123"/>
    </row>
    <row r="74" spans="1:18" x14ac:dyDescent="0.35">
      <c r="A74" s="71" t="str">
        <f>IF(TRIM(G74)&lt;&gt;"",COUNTA(G$11:$G74)&amp;"","")</f>
        <v>38</v>
      </c>
      <c r="B74" s="304"/>
      <c r="C74" s="304"/>
      <c r="D74" s="34"/>
      <c r="E74" s="56" t="s">
        <v>527</v>
      </c>
      <c r="F74" s="73">
        <v>2</v>
      </c>
      <c r="G74" s="74" t="s">
        <v>192</v>
      </c>
      <c r="H74" s="22">
        <v>0</v>
      </c>
      <c r="I74" s="51">
        <f t="shared" ref="I74" si="94">IF(F74=0,"",F74+(F74*H74))</f>
        <v>2</v>
      </c>
      <c r="J74" s="23">
        <f>11.78*18</f>
        <v>212.04</v>
      </c>
      <c r="K74" s="24">
        <f t="shared" ref="K74" si="95">IF(F74=0,"",J74*I74)</f>
        <v>424.08</v>
      </c>
      <c r="L74" s="25">
        <f t="shared" ref="L74" si="96">$L$44</f>
        <v>78</v>
      </c>
      <c r="M74" s="26">
        <v>2.3324399999999996</v>
      </c>
      <c r="N74" s="26">
        <f t="shared" ref="N74" si="97">IF(F74=0,"",M74*I74)</f>
        <v>4.6648799999999992</v>
      </c>
      <c r="O74" s="24">
        <f t="shared" ref="O74" si="98">IF(F74=0,"",N74*L74)</f>
        <v>363.86063999999993</v>
      </c>
      <c r="P74" s="27">
        <f t="shared" ref="P74" si="99">IF(F74=0,"",(K74+O74)/I74)</f>
        <v>393.97031999999996</v>
      </c>
      <c r="Q74" s="24">
        <f t="shared" ref="Q74" si="100">IF(F74=0,"",(P74*I74))</f>
        <v>787.94063999999992</v>
      </c>
      <c r="R74" s="123"/>
    </row>
    <row r="75" spans="1:18" x14ac:dyDescent="0.35">
      <c r="A75" s="71" t="str">
        <f>IF(TRIM(G75)&lt;&gt;"",COUNTA(G$11:$G75)&amp;"","")</f>
        <v/>
      </c>
      <c r="B75" s="304"/>
      <c r="C75" s="304"/>
      <c r="D75" s="34"/>
      <c r="E75" s="56"/>
      <c r="F75" s="73"/>
      <c r="G75" s="74"/>
      <c r="H75" s="22"/>
      <c r="I75" s="51"/>
      <c r="J75" s="23"/>
      <c r="K75" s="24"/>
      <c r="L75" s="25"/>
      <c r="M75" s="26"/>
      <c r="N75" s="26"/>
      <c r="O75" s="24"/>
      <c r="P75" s="27"/>
      <c r="Q75" s="24"/>
      <c r="R75" s="123"/>
    </row>
    <row r="76" spans="1:18" x14ac:dyDescent="0.35">
      <c r="A76" s="71" t="str">
        <f>IF(TRIM(G76)&lt;&gt;"",COUNTA(G$11:$G76)&amp;"","")</f>
        <v>39</v>
      </c>
      <c r="B76" s="304"/>
      <c r="C76" s="304"/>
      <c r="D76" s="34"/>
      <c r="E76" s="56" t="s">
        <v>529</v>
      </c>
      <c r="F76" s="73">
        <v>8</v>
      </c>
      <c r="G76" s="74" t="s">
        <v>192</v>
      </c>
      <c r="H76" s="22">
        <v>0</v>
      </c>
      <c r="I76" s="51">
        <f t="shared" ref="I76:I77" si="101">IF(F76=0,"",F76+(F76*H76))</f>
        <v>8</v>
      </c>
      <c r="J76" s="23">
        <f>(107.98/20)*10</f>
        <v>53.99</v>
      </c>
      <c r="K76" s="24">
        <f t="shared" ref="K76:K77" si="102">IF(F76=0,"",J76*I76)</f>
        <v>431.92</v>
      </c>
      <c r="L76" s="25">
        <f t="shared" ref="L76:L77" si="103">$L$44</f>
        <v>78</v>
      </c>
      <c r="M76" s="26">
        <f>0.011*J76</f>
        <v>0.59389000000000003</v>
      </c>
      <c r="N76" s="26">
        <f t="shared" ref="N76:N77" si="104">IF(F76=0,"",M76*I76)</f>
        <v>4.7511200000000002</v>
      </c>
      <c r="O76" s="24">
        <f t="shared" ref="O76:O77" si="105">IF(F76=0,"",N76*L76)</f>
        <v>370.58735999999999</v>
      </c>
      <c r="P76" s="27">
        <f t="shared" ref="P76:P77" si="106">IF(F76=0,"",(K76+O76)/I76)</f>
        <v>100.31342000000001</v>
      </c>
      <c r="Q76" s="24">
        <f t="shared" ref="Q76:Q77" si="107">IF(F76=0,"",(P76*I76))</f>
        <v>802.50736000000006</v>
      </c>
      <c r="R76" s="123"/>
    </row>
    <row r="77" spans="1:18" x14ac:dyDescent="0.35">
      <c r="A77" s="71" t="str">
        <f>IF(TRIM(G77)&lt;&gt;"",COUNTA(G$11:$G77)&amp;"","")</f>
        <v>40</v>
      </c>
      <c r="B77" s="304"/>
      <c r="C77" s="304"/>
      <c r="D77" s="34"/>
      <c r="E77" s="56" t="s">
        <v>530</v>
      </c>
      <c r="F77" s="73">
        <v>2</v>
      </c>
      <c r="G77" s="74" t="s">
        <v>192</v>
      </c>
      <c r="H77" s="22">
        <v>0</v>
      </c>
      <c r="I77" s="51">
        <f t="shared" si="101"/>
        <v>2</v>
      </c>
      <c r="J77" s="23">
        <f>(107.98/20)*14</f>
        <v>75.585999999999999</v>
      </c>
      <c r="K77" s="24">
        <f t="shared" si="102"/>
        <v>151.172</v>
      </c>
      <c r="L77" s="25">
        <f t="shared" si="103"/>
        <v>78</v>
      </c>
      <c r="M77" s="26">
        <f>0.011*J77</f>
        <v>0.83144599999999991</v>
      </c>
      <c r="N77" s="26">
        <f t="shared" si="104"/>
        <v>1.6628919999999998</v>
      </c>
      <c r="O77" s="24">
        <f t="shared" si="105"/>
        <v>129.70557599999998</v>
      </c>
      <c r="P77" s="27">
        <f t="shared" si="106"/>
        <v>140.43878799999999</v>
      </c>
      <c r="Q77" s="24">
        <f t="shared" si="107"/>
        <v>280.87757599999998</v>
      </c>
      <c r="R77" s="123"/>
    </row>
    <row r="78" spans="1:18" x14ac:dyDescent="0.35">
      <c r="A78" s="71" t="str">
        <f>IF(TRIM(G78)&lt;&gt;"",COUNTA(G$11:$G78)&amp;"","")</f>
        <v/>
      </c>
      <c r="B78" s="304"/>
      <c r="C78" s="304"/>
      <c r="D78" s="34"/>
      <c r="E78" s="56"/>
      <c r="F78" s="73"/>
      <c r="G78" s="74"/>
      <c r="H78" s="22"/>
      <c r="I78" s="51"/>
      <c r="J78" s="23"/>
      <c r="K78" s="24"/>
      <c r="L78" s="25"/>
      <c r="M78" s="26"/>
      <c r="N78" s="26"/>
      <c r="O78" s="24"/>
      <c r="P78" s="27"/>
      <c r="Q78" s="24"/>
      <c r="R78" s="123"/>
    </row>
    <row r="79" spans="1:18" x14ac:dyDescent="0.35">
      <c r="A79" s="71" t="str">
        <f>IF(TRIM(G79)&lt;&gt;"",COUNTA(G$11:$G79)&amp;"","")</f>
        <v/>
      </c>
      <c r="B79" s="304"/>
      <c r="C79" s="304"/>
      <c r="D79" s="34"/>
      <c r="E79" s="259" t="s">
        <v>531</v>
      </c>
      <c r="F79" s="73"/>
      <c r="G79" s="74"/>
      <c r="H79" s="22"/>
      <c r="I79" s="51"/>
      <c r="J79" s="23"/>
      <c r="K79" s="24"/>
      <c r="L79" s="25"/>
      <c r="M79" s="26"/>
      <c r="N79" s="26"/>
      <c r="O79" s="24"/>
      <c r="P79" s="27"/>
      <c r="Q79" s="24"/>
      <c r="R79" s="123"/>
    </row>
    <row r="80" spans="1:18" x14ac:dyDescent="0.35">
      <c r="A80" s="71" t="str">
        <f>IF(TRIM(G80)&lt;&gt;"",COUNTA(G$11:$G80)&amp;"","")</f>
        <v>41</v>
      </c>
      <c r="B80" s="304"/>
      <c r="C80" s="304"/>
      <c r="D80" s="34"/>
      <c r="E80" s="56" t="s">
        <v>532</v>
      </c>
      <c r="F80" s="73">
        <v>15</v>
      </c>
      <c r="G80" s="74" t="s">
        <v>192</v>
      </c>
      <c r="H80" s="22">
        <v>0</v>
      </c>
      <c r="I80" s="51">
        <f t="shared" ref="I80" si="108">IF(F80=0,"",F80+(F80*H80))</f>
        <v>15</v>
      </c>
      <c r="J80" s="23">
        <f>1.87*8</f>
        <v>14.96</v>
      </c>
      <c r="K80" s="24">
        <f t="shared" ref="K80" si="109">IF(F80=0,"",J80*I80)</f>
        <v>224.4</v>
      </c>
      <c r="L80" s="25">
        <f t="shared" ref="L80" si="110">$L$44</f>
        <v>78</v>
      </c>
      <c r="M80" s="26">
        <f>0.061*8</f>
        <v>0.48799999999999999</v>
      </c>
      <c r="N80" s="26">
        <f t="shared" ref="N80" si="111">IF(F80=0,"",M80*I80)</f>
        <v>7.32</v>
      </c>
      <c r="O80" s="24">
        <f t="shared" ref="O80" si="112">IF(F80=0,"",N80*L80)</f>
        <v>570.96</v>
      </c>
      <c r="P80" s="27">
        <f t="shared" ref="P80" si="113">IF(F80=0,"",(K80+O80)/I80)</f>
        <v>53.024000000000001</v>
      </c>
      <c r="Q80" s="24">
        <f t="shared" ref="Q80" si="114">IF(F80=0,"",(P80*I80))</f>
        <v>795.36</v>
      </c>
      <c r="R80" s="123"/>
    </row>
    <row r="81" spans="1:18" x14ac:dyDescent="0.35">
      <c r="A81" s="71" t="str">
        <f>IF(TRIM(G81)&lt;&gt;"",COUNTA(G$11:$G81)&amp;"","")</f>
        <v/>
      </c>
      <c r="B81" s="304"/>
      <c r="C81" s="304"/>
      <c r="D81" s="34"/>
      <c r="E81" s="56"/>
      <c r="F81" s="73"/>
      <c r="G81" s="74"/>
      <c r="H81" s="22"/>
      <c r="I81" s="51"/>
      <c r="J81" s="23"/>
      <c r="K81" s="24"/>
      <c r="L81" s="25"/>
      <c r="M81" s="26"/>
      <c r="N81" s="26"/>
      <c r="O81" s="24"/>
      <c r="P81" s="27"/>
      <c r="Q81" s="24"/>
      <c r="R81" s="123"/>
    </row>
    <row r="82" spans="1:18" x14ac:dyDescent="0.35">
      <c r="A82" s="71" t="str">
        <f>IF(TRIM(G82)&lt;&gt;"",COUNTA(G$11:$G82)&amp;"","")</f>
        <v>42</v>
      </c>
      <c r="B82" s="304"/>
      <c r="C82" s="304"/>
      <c r="D82" s="34"/>
      <c r="E82" s="56" t="s">
        <v>533</v>
      </c>
      <c r="F82" s="73">
        <v>14</v>
      </c>
      <c r="G82" s="74" t="s">
        <v>192</v>
      </c>
      <c r="H82" s="22">
        <v>0</v>
      </c>
      <c r="I82" s="51">
        <f t="shared" ref="I82" si="115">IF(F82=0,"",F82+(F82*H82))</f>
        <v>14</v>
      </c>
      <c r="J82" s="23">
        <f>1.25*12</f>
        <v>15</v>
      </c>
      <c r="K82" s="24">
        <f t="shared" ref="K82" si="116">IF(F82=0,"",J82*I82)</f>
        <v>210</v>
      </c>
      <c r="L82" s="25">
        <f t="shared" ref="L82" si="117">$L$44</f>
        <v>78</v>
      </c>
      <c r="M82" s="26">
        <f>0.0575*12</f>
        <v>0.69000000000000006</v>
      </c>
      <c r="N82" s="26">
        <f t="shared" ref="N82" si="118">IF(F82=0,"",M82*I82)</f>
        <v>9.66</v>
      </c>
      <c r="O82" s="24">
        <f t="shared" ref="O82" si="119">IF(F82=0,"",N82*L82)</f>
        <v>753.48</v>
      </c>
      <c r="P82" s="27">
        <f t="shared" ref="P82" si="120">IF(F82=0,"",(K82+O82)/I82)</f>
        <v>68.820000000000007</v>
      </c>
      <c r="Q82" s="24">
        <f t="shared" ref="Q82" si="121">IF(F82=0,"",(P82*I82))</f>
        <v>963.48000000000013</v>
      </c>
      <c r="R82" s="123"/>
    </row>
    <row r="83" spans="1:18" x14ac:dyDescent="0.35">
      <c r="A83" s="71" t="str">
        <f>IF(TRIM(G83)&lt;&gt;"",COUNTA(G$11:$G83)&amp;"","")</f>
        <v/>
      </c>
      <c r="B83" s="304"/>
      <c r="C83" s="304"/>
      <c r="D83" s="34"/>
      <c r="E83" s="56"/>
      <c r="F83" s="73"/>
      <c r="G83" s="74"/>
      <c r="H83" s="22"/>
      <c r="I83" s="51"/>
      <c r="J83" s="23"/>
      <c r="K83" s="24"/>
      <c r="L83" s="25"/>
      <c r="M83" s="26"/>
      <c r="N83" s="26"/>
      <c r="O83" s="24"/>
      <c r="P83" s="27"/>
      <c r="Q83" s="24"/>
      <c r="R83" s="123"/>
    </row>
    <row r="84" spans="1:18" x14ac:dyDescent="0.35">
      <c r="A84" s="71" t="str">
        <f>IF(TRIM(G84)&lt;&gt;"",COUNTA(G$11:$G84)&amp;"","")</f>
        <v/>
      </c>
      <c r="B84" s="304"/>
      <c r="C84" s="304"/>
      <c r="D84" s="34"/>
      <c r="E84" s="259" t="s">
        <v>535</v>
      </c>
      <c r="F84" s="73"/>
      <c r="G84" s="74"/>
      <c r="H84" s="22"/>
      <c r="I84" s="51"/>
      <c r="J84" s="23"/>
      <c r="K84" s="24"/>
      <c r="L84" s="25"/>
      <c r="M84" s="26"/>
      <c r="N84" s="26"/>
      <c r="O84" s="24"/>
      <c r="P84" s="27"/>
      <c r="Q84" s="24"/>
      <c r="R84" s="123"/>
    </row>
    <row r="85" spans="1:18" x14ac:dyDescent="0.35">
      <c r="A85" s="71" t="str">
        <f>IF(TRIM(G85)&lt;&gt;"",COUNTA(G$11:$G85)&amp;"","")</f>
        <v>43</v>
      </c>
      <c r="B85" s="304"/>
      <c r="C85" s="304"/>
      <c r="D85" s="34"/>
      <c r="E85" s="56" t="s">
        <v>534</v>
      </c>
      <c r="F85" s="73">
        <v>19</v>
      </c>
      <c r="G85" s="74" t="s">
        <v>192</v>
      </c>
      <c r="H85" s="22">
        <v>0</v>
      </c>
      <c r="I85" s="51">
        <f t="shared" ref="I85" si="122">IF(F85=0,"",F85+(F85*H85))</f>
        <v>19</v>
      </c>
      <c r="J85" s="23">
        <f>(43.09/8)*10</f>
        <v>53.862500000000004</v>
      </c>
      <c r="K85" s="24">
        <f t="shared" ref="K85" si="123">IF(F85=0,"",J85*I85)</f>
        <v>1023.3875</v>
      </c>
      <c r="L85" s="25">
        <f t="shared" ref="L85" si="124">$L$44</f>
        <v>78</v>
      </c>
      <c r="M85" s="26">
        <f>0.013*J85</f>
        <v>0.70021250000000002</v>
      </c>
      <c r="N85" s="26">
        <f t="shared" ref="N85" si="125">IF(F85=0,"",M85*I85)</f>
        <v>13.3040375</v>
      </c>
      <c r="O85" s="24">
        <f t="shared" ref="O85" si="126">IF(F85=0,"",N85*L85)</f>
        <v>1037.714925</v>
      </c>
      <c r="P85" s="27">
        <f t="shared" ref="P85" si="127">IF(F85=0,"",(K85+O85)/I85)</f>
        <v>108.47907500000001</v>
      </c>
      <c r="Q85" s="24">
        <f t="shared" ref="Q85" si="128">IF(F85=0,"",(P85*I85))</f>
        <v>2061.102425</v>
      </c>
      <c r="R85" s="123"/>
    </row>
    <row r="86" spans="1:18" x14ac:dyDescent="0.35">
      <c r="A86" s="71" t="str">
        <f>IF(TRIM(G86)&lt;&gt;"",COUNTA(G$11:$G86)&amp;"","")</f>
        <v/>
      </c>
      <c r="B86" s="304"/>
      <c r="C86" s="304"/>
      <c r="D86" s="34"/>
      <c r="E86" s="56"/>
      <c r="F86" s="73"/>
      <c r="G86" s="74"/>
      <c r="H86" s="22"/>
      <c r="I86" s="51"/>
      <c r="J86" s="23"/>
      <c r="K86" s="24"/>
      <c r="L86" s="25"/>
      <c r="M86" s="26"/>
      <c r="N86" s="26"/>
      <c r="O86" s="24"/>
      <c r="P86" s="27"/>
      <c r="Q86" s="24"/>
      <c r="R86" s="123"/>
    </row>
    <row r="87" spans="1:18" x14ac:dyDescent="0.35">
      <c r="A87" s="71" t="str">
        <f>IF(TRIM(G87)&lt;&gt;"",COUNTA(G$11:$G87)&amp;"","")</f>
        <v/>
      </c>
      <c r="B87" s="304"/>
      <c r="C87" s="304"/>
      <c r="D87" s="34"/>
      <c r="E87" s="259" t="s">
        <v>539</v>
      </c>
      <c r="F87" s="73"/>
      <c r="G87" s="74"/>
      <c r="H87" s="22"/>
      <c r="I87" s="51"/>
      <c r="J87" s="23"/>
      <c r="K87" s="24"/>
      <c r="L87" s="25"/>
      <c r="M87" s="26"/>
      <c r="N87" s="26"/>
      <c r="O87" s="24"/>
      <c r="P87" s="27"/>
      <c r="Q87" s="24"/>
      <c r="R87" s="123"/>
    </row>
    <row r="88" spans="1:18" x14ac:dyDescent="0.35">
      <c r="A88" s="71" t="str">
        <f>IF(TRIM(G88)&lt;&gt;"",COUNTA(G$11:$G88)&amp;"","")</f>
        <v>44</v>
      </c>
      <c r="B88" s="305"/>
      <c r="C88" s="305"/>
      <c r="D88" s="34"/>
      <c r="E88" s="56" t="s">
        <v>540</v>
      </c>
      <c r="F88" s="73">
        <f>201.15/50</f>
        <v>4.0229999999999997</v>
      </c>
      <c r="G88" s="74" t="s">
        <v>192</v>
      </c>
      <c r="H88" s="22">
        <v>0</v>
      </c>
      <c r="I88" s="51">
        <f t="shared" ref="I88" si="129">IF(F88=0,"",F88+(F88*H88))</f>
        <v>4.0229999999999997</v>
      </c>
      <c r="J88" s="23">
        <f>0.2*50</f>
        <v>10</v>
      </c>
      <c r="K88" s="24">
        <f t="shared" ref="K88" si="130">IF(F88=0,"",J88*I88)</f>
        <v>40.229999999999997</v>
      </c>
      <c r="L88" s="25">
        <f t="shared" ref="L88" si="131">$L$44</f>
        <v>78</v>
      </c>
      <c r="M88" s="26">
        <f>0.016*50</f>
        <v>0.8</v>
      </c>
      <c r="N88" s="26">
        <f t="shared" ref="N88" si="132">IF(F88=0,"",M88*I88)</f>
        <v>3.2183999999999999</v>
      </c>
      <c r="O88" s="24">
        <f t="shared" ref="O88" si="133">IF(F88=0,"",N88*L88)</f>
        <v>251.0352</v>
      </c>
      <c r="P88" s="27">
        <f t="shared" ref="P88" si="134">IF(F88=0,"",(K88+O88)/I88)</f>
        <v>72.400000000000006</v>
      </c>
      <c r="Q88" s="24">
        <f t="shared" ref="Q88" si="135">IF(F88=0,"",(P88*I88))</f>
        <v>291.26519999999999</v>
      </c>
      <c r="R88" s="123"/>
    </row>
    <row r="89" spans="1:18" x14ac:dyDescent="0.35">
      <c r="A89" s="71" t="str">
        <f>IF(TRIM(G89)&lt;&gt;"",COUNTA(G$11:$G89)&amp;"","")</f>
        <v/>
      </c>
      <c r="B89" s="75"/>
      <c r="C89" s="75"/>
      <c r="D89" s="34"/>
      <c r="E89" s="56"/>
      <c r="F89" s="73"/>
      <c r="G89" s="74"/>
      <c r="H89" s="22"/>
      <c r="I89" s="51"/>
      <c r="J89" s="23"/>
      <c r="K89" s="24"/>
      <c r="L89" s="25"/>
      <c r="M89" s="26"/>
      <c r="N89" s="26"/>
      <c r="O89" s="24"/>
      <c r="P89" s="27"/>
      <c r="Q89" s="24"/>
      <c r="R89" s="123"/>
    </row>
    <row r="90" spans="1:18" x14ac:dyDescent="0.35">
      <c r="A90" s="71" t="str">
        <f>IF(TRIM(G90)&lt;&gt;"",COUNTA(G$11:$G90)&amp;"","")</f>
        <v/>
      </c>
      <c r="B90" s="75"/>
      <c r="C90" s="75"/>
      <c r="D90" s="34"/>
      <c r="E90" s="268" t="s">
        <v>547</v>
      </c>
      <c r="F90" s="73"/>
      <c r="G90" s="74"/>
      <c r="H90" s="22"/>
      <c r="I90" s="51"/>
      <c r="J90" s="23"/>
      <c r="K90" s="24"/>
      <c r="L90" s="25"/>
      <c r="M90" s="26"/>
      <c r="N90" s="26"/>
      <c r="O90" s="24"/>
      <c r="P90" s="27"/>
      <c r="Q90" s="24"/>
      <c r="R90" s="123"/>
    </row>
    <row r="91" spans="1:18" x14ac:dyDescent="0.35">
      <c r="A91" s="71" t="str">
        <f>IF(TRIM(G91)&lt;&gt;"",COUNTA(G$11:$G91)&amp;"","")</f>
        <v/>
      </c>
      <c r="B91" s="75"/>
      <c r="C91" s="75"/>
      <c r="D91" s="34"/>
      <c r="E91" s="259" t="s">
        <v>513</v>
      </c>
      <c r="F91" s="73"/>
      <c r="G91" s="74"/>
      <c r="H91" s="22"/>
      <c r="I91" s="51"/>
      <c r="J91" s="23"/>
      <c r="K91" s="24"/>
      <c r="L91" s="25"/>
      <c r="M91" s="26"/>
      <c r="N91" s="26"/>
      <c r="O91" s="24"/>
      <c r="P91" s="27"/>
      <c r="Q91" s="24"/>
      <c r="R91" s="123"/>
    </row>
    <row r="92" spans="1:18" x14ac:dyDescent="0.35">
      <c r="A92" s="71" t="str">
        <f>IF(TRIM(G92)&lt;&gt;"",COUNTA(G$11:$G92)&amp;"","")</f>
        <v>45</v>
      </c>
      <c r="B92" s="303" t="s">
        <v>611</v>
      </c>
      <c r="C92" s="303" t="s">
        <v>611</v>
      </c>
      <c r="D92" s="34"/>
      <c r="E92" s="259" t="s">
        <v>514</v>
      </c>
      <c r="F92" s="255">
        <v>248.33</v>
      </c>
      <c r="G92" s="260" t="s">
        <v>154</v>
      </c>
      <c r="H92" s="22"/>
      <c r="I92" s="51"/>
      <c r="J92" s="23"/>
      <c r="K92" s="24"/>
      <c r="L92" s="25"/>
      <c r="M92" s="26"/>
      <c r="N92" s="26"/>
      <c r="O92" s="24"/>
      <c r="P92" s="27"/>
      <c r="Q92" s="24"/>
      <c r="R92" s="123"/>
    </row>
    <row r="93" spans="1:18" x14ac:dyDescent="0.35">
      <c r="A93" s="71" t="str">
        <f>IF(TRIM(G93)&lt;&gt;"",COUNTA(G$11:$G93)&amp;"","")</f>
        <v>46</v>
      </c>
      <c r="B93" s="304"/>
      <c r="C93" s="304"/>
      <c r="D93" s="34"/>
      <c r="E93" s="56" t="s">
        <v>517</v>
      </c>
      <c r="F93" s="73">
        <f>F92/1.33</f>
        <v>186.71428571428572</v>
      </c>
      <c r="G93" s="74" t="s">
        <v>192</v>
      </c>
      <c r="H93" s="22">
        <v>0.05</v>
      </c>
      <c r="I93" s="51">
        <f t="shared" ref="I93:I96" si="136">IF(F93=0,"",F93+(F93*H93))</f>
        <v>196.05</v>
      </c>
      <c r="J93" s="23">
        <f>0.78*(104/12)</f>
        <v>6.76</v>
      </c>
      <c r="K93" s="24">
        <f t="shared" ref="K93:K96" si="137">IF(F93=0,"",J93*I93)</f>
        <v>1325.298</v>
      </c>
      <c r="L93" s="25">
        <f t="shared" ref="L93:L96" si="138">$L$44</f>
        <v>78</v>
      </c>
      <c r="M93" s="26">
        <f>0.0543*(104/12)</f>
        <v>0.47059999999999996</v>
      </c>
      <c r="N93" s="26">
        <f t="shared" ref="N93:N96" si="139">IF(F93=0,"",M93*I93)</f>
        <v>92.261129999999994</v>
      </c>
      <c r="O93" s="24">
        <f t="shared" ref="O93:O96" si="140">IF(F93=0,"",N93*L93)</f>
        <v>7196.3681399999996</v>
      </c>
      <c r="P93" s="27">
        <f t="shared" ref="P93:P96" si="141">IF(F93=0,"",(K93+O93)/I93)</f>
        <v>43.466799999999992</v>
      </c>
      <c r="Q93" s="24">
        <f t="shared" ref="Q93:Q96" si="142">IF(F93=0,"",(P93*I93))</f>
        <v>8521.6661399999994</v>
      </c>
      <c r="R93" s="123"/>
    </row>
    <row r="94" spans="1:18" x14ac:dyDescent="0.35">
      <c r="A94" s="71" t="str">
        <f>IF(TRIM(G94)&lt;&gt;"",COUNTA(G$11:$G94)&amp;"","")</f>
        <v>47</v>
      </c>
      <c r="B94" s="304"/>
      <c r="C94" s="304"/>
      <c r="D94" s="34"/>
      <c r="E94" s="56" t="s">
        <v>516</v>
      </c>
      <c r="F94" s="73">
        <f>(F92*2)/16</f>
        <v>31.041250000000002</v>
      </c>
      <c r="G94" s="74" t="s">
        <v>192</v>
      </c>
      <c r="H94" s="22">
        <v>0.05</v>
      </c>
      <c r="I94" s="51">
        <f t="shared" si="136"/>
        <v>32.593312500000003</v>
      </c>
      <c r="J94" s="23">
        <f>0.78*16</f>
        <v>12.48</v>
      </c>
      <c r="K94" s="24">
        <f t="shared" si="137"/>
        <v>406.76454000000007</v>
      </c>
      <c r="L94" s="25">
        <f t="shared" si="138"/>
        <v>78</v>
      </c>
      <c r="M94" s="26">
        <f>0.0543*16</f>
        <v>0.86880000000000002</v>
      </c>
      <c r="N94" s="26">
        <f t="shared" si="139"/>
        <v>28.317069900000003</v>
      </c>
      <c r="O94" s="24">
        <f t="shared" si="140"/>
        <v>2208.7314522000001</v>
      </c>
      <c r="P94" s="27">
        <f t="shared" si="141"/>
        <v>80.246399999999994</v>
      </c>
      <c r="Q94" s="24">
        <f t="shared" si="142"/>
        <v>2615.4959922000003</v>
      </c>
      <c r="R94" s="123"/>
    </row>
    <row r="95" spans="1:18" x14ac:dyDescent="0.35">
      <c r="A95" s="71" t="str">
        <f>IF(TRIM(G95)&lt;&gt;"",COUNTA(G$11:$G95)&amp;"","")</f>
        <v>48</v>
      </c>
      <c r="B95" s="304"/>
      <c r="C95" s="304"/>
      <c r="D95" s="34"/>
      <c r="E95" s="56" t="s">
        <v>516</v>
      </c>
      <c r="F95" s="73">
        <f>F92/16</f>
        <v>15.520625000000001</v>
      </c>
      <c r="G95" s="74" t="s">
        <v>192</v>
      </c>
      <c r="H95" s="22">
        <v>0.05</v>
      </c>
      <c r="I95" s="51">
        <f t="shared" si="136"/>
        <v>16.296656250000002</v>
      </c>
      <c r="J95" s="23">
        <f>0.78*16</f>
        <v>12.48</v>
      </c>
      <c r="K95" s="24">
        <f t="shared" si="137"/>
        <v>203.38227000000003</v>
      </c>
      <c r="L95" s="25">
        <f t="shared" si="138"/>
        <v>78</v>
      </c>
      <c r="M95" s="26">
        <f>0.0543*16</f>
        <v>0.86880000000000002</v>
      </c>
      <c r="N95" s="26">
        <f t="shared" si="139"/>
        <v>14.158534950000002</v>
      </c>
      <c r="O95" s="24">
        <f t="shared" si="140"/>
        <v>1104.3657261000001</v>
      </c>
      <c r="P95" s="27">
        <f t="shared" si="141"/>
        <v>80.246399999999994</v>
      </c>
      <c r="Q95" s="24">
        <f t="shared" si="142"/>
        <v>1307.7479961000001</v>
      </c>
      <c r="R95" s="123"/>
    </row>
    <row r="96" spans="1:18" x14ac:dyDescent="0.35">
      <c r="A96" s="71" t="str">
        <f>IF(TRIM(G96)&lt;&gt;"",COUNTA(G$11:$G96)&amp;"","")</f>
        <v>49</v>
      </c>
      <c r="B96" s="304"/>
      <c r="C96" s="304"/>
      <c r="D96" s="34"/>
      <c r="E96" s="56" t="s">
        <v>541</v>
      </c>
      <c r="F96" s="73">
        <f>(F92*9)/32</f>
        <v>69.842812500000008</v>
      </c>
      <c r="G96" s="74" t="s">
        <v>192</v>
      </c>
      <c r="H96" s="22">
        <v>0.05</v>
      </c>
      <c r="I96" s="51">
        <f t="shared" si="136"/>
        <v>73.334953125000013</v>
      </c>
      <c r="J96" s="23">
        <f>44.05</f>
        <v>44.05</v>
      </c>
      <c r="K96" s="24">
        <f t="shared" si="137"/>
        <v>3230.4046851562503</v>
      </c>
      <c r="L96" s="25">
        <f t="shared" si="138"/>
        <v>78</v>
      </c>
      <c r="M96" s="26">
        <f>0.022*32</f>
        <v>0.70399999999999996</v>
      </c>
      <c r="N96" s="26">
        <f t="shared" si="139"/>
        <v>51.627807000000004</v>
      </c>
      <c r="O96" s="24">
        <f t="shared" si="140"/>
        <v>4026.9689460000004</v>
      </c>
      <c r="P96" s="27">
        <f t="shared" si="141"/>
        <v>98.961999999999989</v>
      </c>
      <c r="Q96" s="24">
        <f t="shared" si="142"/>
        <v>7257.3736311562507</v>
      </c>
      <c r="R96" s="123"/>
    </row>
    <row r="97" spans="1:18" x14ac:dyDescent="0.35">
      <c r="A97" s="71" t="str">
        <f>IF(TRIM(G97)&lt;&gt;"",COUNTA(G$11:$G97)&amp;"","")</f>
        <v/>
      </c>
      <c r="B97" s="304"/>
      <c r="C97" s="304"/>
      <c r="D97" s="34"/>
      <c r="E97" s="56"/>
      <c r="F97" s="73"/>
      <c r="G97" s="74"/>
      <c r="H97" s="22"/>
      <c r="I97" s="51"/>
      <c r="J97" s="23"/>
      <c r="K97" s="24"/>
      <c r="L97" s="25"/>
      <c r="M97" s="26"/>
      <c r="N97" s="26"/>
      <c r="O97" s="24"/>
      <c r="P97" s="27"/>
      <c r="Q97" s="24"/>
      <c r="R97" s="123"/>
    </row>
    <row r="98" spans="1:18" x14ac:dyDescent="0.35">
      <c r="A98" s="71" t="str">
        <f>IF(TRIM(G98)&lt;&gt;"",COUNTA(G$11:$G98)&amp;"","")</f>
        <v>50</v>
      </c>
      <c r="B98" s="304"/>
      <c r="C98" s="304"/>
      <c r="D98" s="34"/>
      <c r="E98" s="259" t="s">
        <v>519</v>
      </c>
      <c r="F98" s="255">
        <v>290.20999999999998</v>
      </c>
      <c r="G98" s="260" t="s">
        <v>154</v>
      </c>
      <c r="H98" s="22"/>
      <c r="I98" s="51"/>
      <c r="J98" s="23"/>
      <c r="K98" s="24"/>
      <c r="L98" s="25"/>
      <c r="M98" s="26"/>
      <c r="N98" s="26"/>
      <c r="O98" s="24"/>
      <c r="P98" s="27"/>
      <c r="Q98" s="24"/>
      <c r="R98" s="123"/>
    </row>
    <row r="99" spans="1:18" x14ac:dyDescent="0.35">
      <c r="A99" s="71" t="str">
        <f>IF(TRIM(G99)&lt;&gt;"",COUNTA(G$11:$G99)&amp;"","")</f>
        <v>51</v>
      </c>
      <c r="B99" s="304"/>
      <c r="C99" s="304"/>
      <c r="D99" s="34"/>
      <c r="E99" s="56" t="s">
        <v>521</v>
      </c>
      <c r="F99" s="73">
        <f>F98/1.33</f>
        <v>218.20300751879697</v>
      </c>
      <c r="G99" s="74" t="s">
        <v>192</v>
      </c>
      <c r="H99" s="22">
        <v>0.05</v>
      </c>
      <c r="I99" s="51">
        <f t="shared" ref="I99:I101" si="143">IF(F99=0,"",F99+(F99*H99))</f>
        <v>229.11315789473682</v>
      </c>
      <c r="J99" s="23">
        <f>0.48*(104/12)</f>
        <v>4.1599999999999993</v>
      </c>
      <c r="K99" s="24">
        <f t="shared" ref="K99" si="144">IF(F99=0,"",J99*I99)</f>
        <v>953.11073684210498</v>
      </c>
      <c r="L99" s="25">
        <f t="shared" ref="L99" si="145">$L$44</f>
        <v>78</v>
      </c>
      <c r="M99" s="26">
        <f>0.0475*(104/12)</f>
        <v>0.41166666666666663</v>
      </c>
      <c r="N99" s="26">
        <f t="shared" ref="N99:N101" si="146">IF(F99=0,"",M99*I99)</f>
        <v>94.318249999999978</v>
      </c>
      <c r="O99" s="24">
        <f t="shared" ref="O99:O101" si="147">IF(F99=0,"",N99*L99)</f>
        <v>7356.8234999999986</v>
      </c>
      <c r="P99" s="27">
        <f t="shared" ref="P99:P101" si="148">IF(F99=0,"",(K99+O99)/I99)</f>
        <v>36.269999999999996</v>
      </c>
      <c r="Q99" s="24">
        <f t="shared" ref="Q99:Q101" si="149">IF(F99=0,"",(P99*I99))</f>
        <v>8309.9342368421039</v>
      </c>
      <c r="R99" s="123"/>
    </row>
    <row r="100" spans="1:18" x14ac:dyDescent="0.35">
      <c r="A100" s="71" t="str">
        <f>IF(TRIM(G100)&lt;&gt;"",COUNTA(G$11:$G100)&amp;"","")</f>
        <v>52</v>
      </c>
      <c r="B100" s="304"/>
      <c r="C100" s="304"/>
      <c r="D100" s="34"/>
      <c r="E100" s="56" t="s">
        <v>522</v>
      </c>
      <c r="F100" s="73">
        <f>(F98*2)/16</f>
        <v>36.276249999999997</v>
      </c>
      <c r="G100" s="74" t="s">
        <v>192</v>
      </c>
      <c r="H100" s="22">
        <v>0.05</v>
      </c>
      <c r="I100" s="51">
        <f t="shared" si="143"/>
        <v>38.090062499999995</v>
      </c>
      <c r="J100" s="23">
        <f>0.48*16</f>
        <v>7.68</v>
      </c>
      <c r="K100" s="24">
        <f t="shared" ref="K100:K101" si="150">IF(F100=0,"",J100*I100)</f>
        <v>292.53167999999994</v>
      </c>
      <c r="L100" s="25">
        <f t="shared" ref="L100:L101" si="151">$L$44</f>
        <v>78</v>
      </c>
      <c r="M100" s="26">
        <f>0.0475*16</f>
        <v>0.76</v>
      </c>
      <c r="N100" s="26">
        <f t="shared" si="146"/>
        <v>28.948447499999997</v>
      </c>
      <c r="O100" s="24">
        <f t="shared" si="147"/>
        <v>2257.9789049999999</v>
      </c>
      <c r="P100" s="27">
        <f t="shared" si="148"/>
        <v>66.960000000000008</v>
      </c>
      <c r="Q100" s="24">
        <f t="shared" si="149"/>
        <v>2550.510585</v>
      </c>
      <c r="R100" s="123"/>
    </row>
    <row r="101" spans="1:18" x14ac:dyDescent="0.35">
      <c r="A101" s="71" t="str">
        <f>IF(TRIM(G101)&lt;&gt;"",COUNTA(G$11:$G101)&amp;"","")</f>
        <v>53</v>
      </c>
      <c r="B101" s="304"/>
      <c r="C101" s="304"/>
      <c r="D101" s="34"/>
      <c r="E101" s="56" t="s">
        <v>522</v>
      </c>
      <c r="F101" s="73">
        <f>F98/16</f>
        <v>18.138124999999999</v>
      </c>
      <c r="G101" s="74" t="s">
        <v>192</v>
      </c>
      <c r="H101" s="22">
        <v>0.05</v>
      </c>
      <c r="I101" s="51">
        <f t="shared" si="143"/>
        <v>19.045031249999997</v>
      </c>
      <c r="J101" s="23">
        <f>0.48*16</f>
        <v>7.68</v>
      </c>
      <c r="K101" s="24">
        <f t="shared" si="150"/>
        <v>146.26583999999997</v>
      </c>
      <c r="L101" s="25">
        <f t="shared" si="151"/>
        <v>78</v>
      </c>
      <c r="M101" s="26">
        <f>0.0475*16</f>
        <v>0.76</v>
      </c>
      <c r="N101" s="26">
        <f t="shared" si="146"/>
        <v>14.474223749999998</v>
      </c>
      <c r="O101" s="24">
        <f t="shared" si="147"/>
        <v>1128.9894525</v>
      </c>
      <c r="P101" s="27">
        <f t="shared" si="148"/>
        <v>66.960000000000008</v>
      </c>
      <c r="Q101" s="24">
        <f t="shared" si="149"/>
        <v>1275.2552925</v>
      </c>
      <c r="R101" s="123"/>
    </row>
    <row r="102" spans="1:18" x14ac:dyDescent="0.35">
      <c r="A102" s="71" t="str">
        <f>IF(TRIM(G102)&lt;&gt;"",COUNTA(G$11:$G102)&amp;"","")</f>
        <v/>
      </c>
      <c r="B102" s="304"/>
      <c r="C102" s="304"/>
      <c r="D102" s="34"/>
      <c r="E102" s="56"/>
      <c r="F102" s="73"/>
      <c r="G102" s="74"/>
      <c r="H102" s="22"/>
      <c r="I102" s="51"/>
      <c r="J102" s="23"/>
      <c r="K102" s="24"/>
      <c r="L102" s="25"/>
      <c r="M102" s="26"/>
      <c r="N102" s="26"/>
      <c r="O102" s="24"/>
      <c r="P102" s="27"/>
      <c r="Q102" s="24"/>
      <c r="R102" s="123"/>
    </row>
    <row r="103" spans="1:18" x14ac:dyDescent="0.35">
      <c r="A103" s="71" t="str">
        <f>IF(TRIM(G103)&lt;&gt;"",COUNTA(G$11:$G103)&amp;"","")</f>
        <v/>
      </c>
      <c r="B103" s="304"/>
      <c r="C103" s="304"/>
      <c r="D103" s="34"/>
      <c r="E103" s="259" t="s">
        <v>525</v>
      </c>
      <c r="F103" s="73"/>
      <c r="G103" s="74"/>
      <c r="H103" s="22"/>
      <c r="I103" s="51"/>
      <c r="J103" s="23"/>
      <c r="K103" s="24"/>
      <c r="L103" s="25"/>
      <c r="M103" s="26"/>
      <c r="N103" s="26"/>
      <c r="O103" s="24"/>
      <c r="P103" s="27"/>
      <c r="Q103" s="24"/>
      <c r="R103" s="123"/>
    </row>
    <row r="104" spans="1:18" x14ac:dyDescent="0.35">
      <c r="A104" s="71" t="str">
        <f>IF(TRIM(G104)&lt;&gt;"",COUNTA(G$11:$G104)&amp;"","")</f>
        <v>54</v>
      </c>
      <c r="B104" s="304"/>
      <c r="C104" s="304"/>
      <c r="D104" s="34"/>
      <c r="E104" s="56" t="s">
        <v>517</v>
      </c>
      <c r="F104" s="73">
        <v>149</v>
      </c>
      <c r="G104" s="74" t="s">
        <v>192</v>
      </c>
      <c r="H104" s="22">
        <v>0.05</v>
      </c>
      <c r="I104" s="51">
        <f t="shared" ref="I104:I107" si="152">IF(F104=0,"",F104+(F104*H104))</f>
        <v>156.44999999999999</v>
      </c>
      <c r="J104" s="23">
        <f>0.78*(104/12)</f>
        <v>6.76</v>
      </c>
      <c r="K104" s="24">
        <f t="shared" ref="K104" si="153">IF(F104=0,"",J104*I104)</f>
        <v>1057.6019999999999</v>
      </c>
      <c r="L104" s="25">
        <f t="shared" ref="L104" si="154">$L$44</f>
        <v>78</v>
      </c>
      <c r="M104" s="26">
        <f>0.0543*(104/12)</f>
        <v>0.47059999999999996</v>
      </c>
      <c r="N104" s="26">
        <f t="shared" ref="N104" si="155">IF(F104=0,"",M104*I104)</f>
        <v>73.62536999999999</v>
      </c>
      <c r="O104" s="24">
        <f t="shared" ref="O104:O107" si="156">IF(F104=0,"",N104*L104)</f>
        <v>5742.7788599999994</v>
      </c>
      <c r="P104" s="27">
        <f t="shared" ref="P104:P107" si="157">IF(F104=0,"",(K104+O104)/I104)</f>
        <v>43.466799999999999</v>
      </c>
      <c r="Q104" s="24">
        <f t="shared" ref="Q104:Q107" si="158">IF(F104=0,"",(P104*I104))</f>
        <v>6800.3808599999993</v>
      </c>
      <c r="R104" s="123"/>
    </row>
    <row r="105" spans="1:18" x14ac:dyDescent="0.35">
      <c r="A105" s="71" t="str">
        <f>IF(TRIM(G105)&lt;&gt;"",COUNTA(G$11:$G105)&amp;"","")</f>
        <v>55</v>
      </c>
      <c r="B105" s="304"/>
      <c r="C105" s="304"/>
      <c r="D105" s="34"/>
      <c r="E105" s="56" t="s">
        <v>526</v>
      </c>
      <c r="F105" s="73">
        <v>53</v>
      </c>
      <c r="G105" s="74" t="s">
        <v>192</v>
      </c>
      <c r="H105" s="22">
        <v>0.05</v>
      </c>
      <c r="I105" s="51">
        <f t="shared" si="152"/>
        <v>55.65</v>
      </c>
      <c r="J105" s="23">
        <f>0.78*(92/12)</f>
        <v>5.98</v>
      </c>
      <c r="K105" s="24">
        <f t="shared" ref="K105:K107" si="159">IF(F105=0,"",J105*I105)</f>
        <v>332.78700000000003</v>
      </c>
      <c r="L105" s="25">
        <f>$L$44</f>
        <v>78</v>
      </c>
      <c r="M105" s="26">
        <f>0.0543*(92/12)</f>
        <v>0.4163</v>
      </c>
      <c r="N105" s="26">
        <f t="shared" ref="N105:N107" si="160">IF(F105=0,"",M105*I105)</f>
        <v>23.167095</v>
      </c>
      <c r="O105" s="24">
        <f t="shared" si="156"/>
        <v>1807.03341</v>
      </c>
      <c r="P105" s="27">
        <f t="shared" si="157"/>
        <v>38.451400000000007</v>
      </c>
      <c r="Q105" s="24">
        <f t="shared" si="158"/>
        <v>2139.8204100000003</v>
      </c>
      <c r="R105" s="123"/>
    </row>
    <row r="106" spans="1:18" x14ac:dyDescent="0.35">
      <c r="A106" s="71" t="str">
        <f>IF(TRIM(G106)&lt;&gt;"",COUNTA(G$11:$G106)&amp;"","")</f>
        <v>56</v>
      </c>
      <c r="B106" s="304"/>
      <c r="C106" s="304"/>
      <c r="D106" s="34"/>
      <c r="E106" s="56" t="s">
        <v>521</v>
      </c>
      <c r="F106" s="73">
        <v>55</v>
      </c>
      <c r="G106" s="74" t="s">
        <v>192</v>
      </c>
      <c r="H106" s="22">
        <v>0.05</v>
      </c>
      <c r="I106" s="51">
        <f t="shared" si="152"/>
        <v>57.75</v>
      </c>
      <c r="J106" s="23">
        <f>0.48*(104/12)</f>
        <v>4.1599999999999993</v>
      </c>
      <c r="K106" s="24">
        <f t="shared" si="159"/>
        <v>240.23999999999995</v>
      </c>
      <c r="L106" s="25">
        <f>$L$44</f>
        <v>78</v>
      </c>
      <c r="M106" s="26">
        <f>0.0475*(104/12)</f>
        <v>0.41166666666666663</v>
      </c>
      <c r="N106" s="26">
        <f t="shared" si="160"/>
        <v>23.773749999999996</v>
      </c>
      <c r="O106" s="24">
        <f t="shared" si="156"/>
        <v>1854.3524999999997</v>
      </c>
      <c r="P106" s="27">
        <f t="shared" si="157"/>
        <v>36.269999999999996</v>
      </c>
      <c r="Q106" s="24">
        <f t="shared" si="158"/>
        <v>2094.5924999999997</v>
      </c>
      <c r="R106" s="123"/>
    </row>
    <row r="107" spans="1:18" x14ac:dyDescent="0.35">
      <c r="A107" s="71" t="str">
        <f>IF(TRIM(G107)&lt;&gt;"",COUNTA(G$11:$G107)&amp;"","")</f>
        <v>57</v>
      </c>
      <c r="B107" s="304"/>
      <c r="C107" s="304"/>
      <c r="D107" s="34"/>
      <c r="E107" s="56" t="s">
        <v>524</v>
      </c>
      <c r="F107" s="73">
        <v>5</v>
      </c>
      <c r="G107" s="74" t="s">
        <v>192</v>
      </c>
      <c r="H107" s="22">
        <v>0.05</v>
      </c>
      <c r="I107" s="51">
        <f t="shared" si="152"/>
        <v>5.25</v>
      </c>
      <c r="J107" s="23">
        <f>0.48*(92/12)</f>
        <v>3.68</v>
      </c>
      <c r="K107" s="24">
        <f t="shared" si="159"/>
        <v>19.32</v>
      </c>
      <c r="L107" s="25">
        <f>$L$44</f>
        <v>78</v>
      </c>
      <c r="M107" s="26">
        <f>0.0475*(92/12)</f>
        <v>0.36416666666666669</v>
      </c>
      <c r="N107" s="26">
        <f t="shared" si="160"/>
        <v>1.9118750000000002</v>
      </c>
      <c r="O107" s="24">
        <f t="shared" si="156"/>
        <v>149.12625000000003</v>
      </c>
      <c r="P107" s="27">
        <f t="shared" si="157"/>
        <v>32.085000000000001</v>
      </c>
      <c r="Q107" s="24">
        <f t="shared" si="158"/>
        <v>168.44624999999999</v>
      </c>
      <c r="R107" s="123"/>
    </row>
    <row r="108" spans="1:18" x14ac:dyDescent="0.35">
      <c r="A108" s="71" t="str">
        <f>IF(TRIM(G108)&lt;&gt;"",COUNTA(G$11:$G108)&amp;"","")</f>
        <v/>
      </c>
      <c r="B108" s="304"/>
      <c r="C108" s="304"/>
      <c r="D108" s="34"/>
      <c r="E108" s="56"/>
      <c r="F108" s="73"/>
      <c r="G108" s="74"/>
      <c r="H108" s="22"/>
      <c r="I108" s="51"/>
      <c r="J108" s="23"/>
      <c r="K108" s="24"/>
      <c r="L108" s="25"/>
      <c r="M108" s="26"/>
      <c r="N108" s="26"/>
      <c r="O108" s="24"/>
      <c r="P108" s="27"/>
      <c r="Q108" s="24"/>
      <c r="R108" s="123"/>
    </row>
    <row r="109" spans="1:18" x14ac:dyDescent="0.35">
      <c r="A109" s="71" t="str">
        <f>IF(TRIM(G109)&lt;&gt;"",COUNTA(G$11:$G109)&amp;"","")</f>
        <v/>
      </c>
      <c r="B109" s="304"/>
      <c r="C109" s="304"/>
      <c r="D109" s="34"/>
      <c r="E109" s="259" t="s">
        <v>528</v>
      </c>
      <c r="F109" s="73"/>
      <c r="G109" s="74"/>
      <c r="H109" s="22"/>
      <c r="I109" s="51"/>
      <c r="J109" s="23"/>
      <c r="K109" s="24"/>
      <c r="L109" s="25"/>
      <c r="M109" s="26"/>
      <c r="N109" s="26"/>
      <c r="O109" s="24"/>
      <c r="P109" s="27"/>
      <c r="Q109" s="24"/>
      <c r="R109" s="123"/>
    </row>
    <row r="110" spans="1:18" x14ac:dyDescent="0.35">
      <c r="A110" s="71" t="str">
        <f>IF(TRIM(G110)&lt;&gt;"",COUNTA(G$11:$G110)&amp;"","")</f>
        <v>58</v>
      </c>
      <c r="B110" s="304"/>
      <c r="C110" s="304"/>
      <c r="D110" s="34"/>
      <c r="E110" s="56" t="s">
        <v>553</v>
      </c>
      <c r="F110" s="73">
        <v>2</v>
      </c>
      <c r="G110" s="74" t="s">
        <v>192</v>
      </c>
      <c r="H110" s="22">
        <v>0</v>
      </c>
      <c r="I110" s="51">
        <f t="shared" ref="I110:I116" si="161">IF(F110=0,"",F110+(F110*H110))</f>
        <v>2</v>
      </c>
      <c r="J110" s="23">
        <f>11.78*8</f>
        <v>94.24</v>
      </c>
      <c r="K110" s="24">
        <f t="shared" ref="K110:K116" si="162">IF(F110=0,"",J110*I110)</f>
        <v>188.48</v>
      </c>
      <c r="L110" s="25">
        <f t="shared" ref="L110:L116" si="163">$L$44</f>
        <v>78</v>
      </c>
      <c r="M110" s="26">
        <v>1.0366399999999998</v>
      </c>
      <c r="N110" s="26">
        <f t="shared" ref="N110:N116" si="164">IF(F110=0,"",M110*I110)</f>
        <v>2.0732799999999996</v>
      </c>
      <c r="O110" s="24">
        <f t="shared" ref="O110:O116" si="165">IF(F110=0,"",N110*L110)</f>
        <v>161.71583999999996</v>
      </c>
      <c r="P110" s="27">
        <f t="shared" ref="P110:P116" si="166">IF(F110=0,"",(K110+O110)/I110)</f>
        <v>175.09791999999999</v>
      </c>
      <c r="Q110" s="24">
        <f t="shared" ref="Q110:Q116" si="167">IF(F110=0,"",(P110*I110))</f>
        <v>350.19583999999998</v>
      </c>
      <c r="R110" s="123"/>
    </row>
    <row r="111" spans="1:18" x14ac:dyDescent="0.35">
      <c r="A111" s="71" t="str">
        <f>IF(TRIM(G111)&lt;&gt;"",COUNTA(G$11:$G111)&amp;"","")</f>
        <v>59</v>
      </c>
      <c r="B111" s="304"/>
      <c r="C111" s="304"/>
      <c r="D111" s="34"/>
      <c r="E111" s="56" t="s">
        <v>548</v>
      </c>
      <c r="F111" s="73">
        <v>54</v>
      </c>
      <c r="G111" s="74" t="s">
        <v>192</v>
      </c>
      <c r="H111" s="22">
        <v>0</v>
      </c>
      <c r="I111" s="51">
        <f t="shared" si="161"/>
        <v>54</v>
      </c>
      <c r="J111" s="23">
        <f>11.78*10</f>
        <v>117.8</v>
      </c>
      <c r="K111" s="24">
        <f t="shared" si="162"/>
        <v>6361.2</v>
      </c>
      <c r="L111" s="25">
        <f t="shared" si="163"/>
        <v>78</v>
      </c>
      <c r="M111" s="26">
        <v>1.2957999999999998</v>
      </c>
      <c r="N111" s="26">
        <f t="shared" si="164"/>
        <v>69.973199999999991</v>
      </c>
      <c r="O111" s="24">
        <f t="shared" si="165"/>
        <v>5457.909599999999</v>
      </c>
      <c r="P111" s="27">
        <f t="shared" si="166"/>
        <v>218.8724</v>
      </c>
      <c r="Q111" s="24">
        <f t="shared" si="167"/>
        <v>11819.1096</v>
      </c>
      <c r="R111" s="123"/>
    </row>
    <row r="112" spans="1:18" x14ac:dyDescent="0.35">
      <c r="A112" s="71" t="str">
        <f>IF(TRIM(G112)&lt;&gt;"",COUNTA(G$11:$G112)&amp;"","")</f>
        <v>60</v>
      </c>
      <c r="B112" s="304"/>
      <c r="C112" s="304"/>
      <c r="D112" s="34"/>
      <c r="E112" s="56" t="s">
        <v>552</v>
      </c>
      <c r="F112" s="73">
        <v>1</v>
      </c>
      <c r="G112" s="74" t="s">
        <v>192</v>
      </c>
      <c r="H112" s="22">
        <v>0</v>
      </c>
      <c r="I112" s="51">
        <f t="shared" si="161"/>
        <v>1</v>
      </c>
      <c r="J112" s="23">
        <f>11.78*12</f>
        <v>141.35999999999999</v>
      </c>
      <c r="K112" s="24">
        <f t="shared" si="162"/>
        <v>141.35999999999999</v>
      </c>
      <c r="L112" s="25">
        <f t="shared" si="163"/>
        <v>78</v>
      </c>
      <c r="M112" s="26">
        <v>1.5549599999999997</v>
      </c>
      <c r="N112" s="26">
        <f t="shared" si="164"/>
        <v>1.5549599999999997</v>
      </c>
      <c r="O112" s="24">
        <f t="shared" si="165"/>
        <v>121.28687999999997</v>
      </c>
      <c r="P112" s="27">
        <f t="shared" si="166"/>
        <v>262.64687999999995</v>
      </c>
      <c r="Q112" s="24">
        <f t="shared" si="167"/>
        <v>262.64687999999995</v>
      </c>
      <c r="R112" s="123"/>
    </row>
    <row r="113" spans="1:18" x14ac:dyDescent="0.35">
      <c r="A113" s="71" t="str">
        <f>IF(TRIM(G113)&lt;&gt;"",COUNTA(G$11:$G113)&amp;"","")</f>
        <v>61</v>
      </c>
      <c r="B113" s="304"/>
      <c r="C113" s="304"/>
      <c r="D113" s="34"/>
      <c r="E113" s="56" t="s">
        <v>551</v>
      </c>
      <c r="F113" s="73">
        <v>14</v>
      </c>
      <c r="G113" s="74" t="s">
        <v>192</v>
      </c>
      <c r="H113" s="22">
        <v>0</v>
      </c>
      <c r="I113" s="51">
        <f t="shared" si="161"/>
        <v>14</v>
      </c>
      <c r="J113" s="23">
        <f>11.78*16</f>
        <v>188.48</v>
      </c>
      <c r="K113" s="24">
        <f t="shared" si="162"/>
        <v>2638.72</v>
      </c>
      <c r="L113" s="25">
        <f t="shared" si="163"/>
        <v>78</v>
      </c>
      <c r="M113" s="26">
        <v>2.0732799999999996</v>
      </c>
      <c r="N113" s="26">
        <f t="shared" si="164"/>
        <v>29.025919999999992</v>
      </c>
      <c r="O113" s="24">
        <f t="shared" si="165"/>
        <v>2264.0217599999992</v>
      </c>
      <c r="P113" s="27">
        <f t="shared" si="166"/>
        <v>350.19583999999992</v>
      </c>
      <c r="Q113" s="24">
        <f t="shared" si="167"/>
        <v>4902.741759999999</v>
      </c>
      <c r="R113" s="123"/>
    </row>
    <row r="114" spans="1:18" x14ac:dyDescent="0.35">
      <c r="A114" s="71" t="str">
        <f>IF(TRIM(G114)&lt;&gt;"",COUNTA(G$11:$G114)&amp;"","")</f>
        <v>62</v>
      </c>
      <c r="B114" s="304"/>
      <c r="C114" s="304"/>
      <c r="D114" s="34"/>
      <c r="E114" s="56" t="s">
        <v>550</v>
      </c>
      <c r="F114" s="73">
        <v>12</v>
      </c>
      <c r="G114" s="74" t="s">
        <v>192</v>
      </c>
      <c r="H114" s="22">
        <v>0</v>
      </c>
      <c r="I114" s="51">
        <f t="shared" si="161"/>
        <v>12</v>
      </c>
      <c r="J114" s="23">
        <f>11.78*18</f>
        <v>212.04</v>
      </c>
      <c r="K114" s="24">
        <f t="shared" si="162"/>
        <v>2544.48</v>
      </c>
      <c r="L114" s="25">
        <f t="shared" si="163"/>
        <v>78</v>
      </c>
      <c r="M114" s="26">
        <v>2.3324399999999996</v>
      </c>
      <c r="N114" s="26">
        <f t="shared" si="164"/>
        <v>27.989279999999994</v>
      </c>
      <c r="O114" s="24">
        <f t="shared" si="165"/>
        <v>2183.1638399999997</v>
      </c>
      <c r="P114" s="27">
        <f t="shared" si="166"/>
        <v>393.97031999999996</v>
      </c>
      <c r="Q114" s="24">
        <f t="shared" si="167"/>
        <v>4727.6438399999997</v>
      </c>
      <c r="R114" s="123"/>
    </row>
    <row r="115" spans="1:18" x14ac:dyDescent="0.35">
      <c r="A115" s="71" t="str">
        <f>IF(TRIM(G115)&lt;&gt;"",COUNTA(G$11:$G115)&amp;"","")</f>
        <v>63</v>
      </c>
      <c r="B115" s="304"/>
      <c r="C115" s="304"/>
      <c r="D115" s="34"/>
      <c r="E115" s="56" t="s">
        <v>549</v>
      </c>
      <c r="F115" s="73">
        <v>10</v>
      </c>
      <c r="G115" s="74" t="s">
        <v>192</v>
      </c>
      <c r="H115" s="22">
        <v>0</v>
      </c>
      <c r="I115" s="51">
        <f t="shared" si="161"/>
        <v>10</v>
      </c>
      <c r="J115" s="23">
        <f>11.78*20</f>
        <v>235.6</v>
      </c>
      <c r="K115" s="24">
        <f t="shared" si="162"/>
        <v>2356</v>
      </c>
      <c r="L115" s="25">
        <f t="shared" si="163"/>
        <v>78</v>
      </c>
      <c r="M115" s="26">
        <v>2.5915999999999997</v>
      </c>
      <c r="N115" s="26">
        <f t="shared" si="164"/>
        <v>25.915999999999997</v>
      </c>
      <c r="O115" s="24">
        <f t="shared" si="165"/>
        <v>2021.4479999999999</v>
      </c>
      <c r="P115" s="27">
        <f t="shared" si="166"/>
        <v>437.74480000000005</v>
      </c>
      <c r="Q115" s="24">
        <f t="shared" si="167"/>
        <v>4377.4480000000003</v>
      </c>
      <c r="R115" s="123"/>
    </row>
    <row r="116" spans="1:18" x14ac:dyDescent="0.35">
      <c r="A116" s="71" t="str">
        <f>IF(TRIM(G116)&lt;&gt;"",COUNTA(G$11:$G116)&amp;"","")</f>
        <v>64</v>
      </c>
      <c r="B116" s="304"/>
      <c r="C116" s="304"/>
      <c r="D116" s="34"/>
      <c r="E116" s="56" t="s">
        <v>554</v>
      </c>
      <c r="F116" s="73">
        <v>2</v>
      </c>
      <c r="G116" s="74" t="s">
        <v>192</v>
      </c>
      <c r="H116" s="22">
        <v>0</v>
      </c>
      <c r="I116" s="51">
        <f t="shared" si="161"/>
        <v>2</v>
      </c>
      <c r="J116" s="23">
        <f>11.78*22</f>
        <v>259.15999999999997</v>
      </c>
      <c r="K116" s="24">
        <f t="shared" si="162"/>
        <v>518.31999999999994</v>
      </c>
      <c r="L116" s="25">
        <f t="shared" si="163"/>
        <v>78</v>
      </c>
      <c r="M116" s="26">
        <v>2.8507599999999993</v>
      </c>
      <c r="N116" s="26">
        <f t="shared" si="164"/>
        <v>5.7015199999999986</v>
      </c>
      <c r="O116" s="24">
        <f t="shared" si="165"/>
        <v>444.71855999999991</v>
      </c>
      <c r="P116" s="27">
        <f t="shared" si="166"/>
        <v>481.51927999999992</v>
      </c>
      <c r="Q116" s="24">
        <f t="shared" si="167"/>
        <v>963.03855999999985</v>
      </c>
      <c r="R116" s="123"/>
    </row>
    <row r="117" spans="1:18" x14ac:dyDescent="0.35">
      <c r="A117" s="71" t="str">
        <f>IF(TRIM(G117)&lt;&gt;"",COUNTA(G$11:$G117)&amp;"","")</f>
        <v/>
      </c>
      <c r="B117" s="304"/>
      <c r="C117" s="304"/>
      <c r="D117" s="34"/>
      <c r="E117" s="56"/>
      <c r="F117" s="73"/>
      <c r="G117" s="74"/>
      <c r="H117" s="22"/>
      <c r="I117" s="51"/>
      <c r="J117" s="23"/>
      <c r="K117" s="24"/>
      <c r="L117" s="25"/>
      <c r="M117" s="26"/>
      <c r="N117" s="26"/>
      <c r="O117" s="24"/>
      <c r="P117" s="27"/>
      <c r="Q117" s="24"/>
      <c r="R117" s="123"/>
    </row>
    <row r="118" spans="1:18" x14ac:dyDescent="0.35">
      <c r="A118" s="71" t="str">
        <f>IF(TRIM(G118)&lt;&gt;"",COUNTA(G$11:$G118)&amp;"","")</f>
        <v/>
      </c>
      <c r="B118" s="304"/>
      <c r="C118" s="304"/>
      <c r="D118" s="34"/>
      <c r="E118" s="259" t="s">
        <v>531</v>
      </c>
      <c r="F118" s="73"/>
      <c r="G118" s="74"/>
      <c r="H118" s="22"/>
      <c r="I118" s="51"/>
      <c r="J118" s="23"/>
      <c r="K118" s="24"/>
      <c r="L118" s="25"/>
      <c r="M118" s="26"/>
      <c r="N118" s="26"/>
      <c r="O118" s="24"/>
      <c r="P118" s="27"/>
      <c r="Q118" s="24"/>
      <c r="R118" s="123"/>
    </row>
    <row r="119" spans="1:18" x14ac:dyDescent="0.35">
      <c r="A119" s="71" t="str">
        <f>IF(TRIM(G119)&lt;&gt;"",COUNTA(G$11:$G119)&amp;"","")</f>
        <v>65</v>
      </c>
      <c r="B119" s="304"/>
      <c r="C119" s="304"/>
      <c r="D119" s="34"/>
      <c r="E119" s="56" t="s">
        <v>532</v>
      </c>
      <c r="F119" s="73">
        <v>33</v>
      </c>
      <c r="G119" s="74" t="s">
        <v>192</v>
      </c>
      <c r="H119" s="22">
        <v>0</v>
      </c>
      <c r="I119" s="51">
        <f t="shared" ref="I119:I121" si="168">IF(F119=0,"",F119+(F119*H119))</f>
        <v>33</v>
      </c>
      <c r="J119" s="23">
        <f>1.87*8</f>
        <v>14.96</v>
      </c>
      <c r="K119" s="24">
        <f t="shared" ref="K119:K121" si="169">IF(F119=0,"",J119*I119)</f>
        <v>493.68</v>
      </c>
      <c r="L119" s="25">
        <f t="shared" ref="L119:L121" si="170">$L$44</f>
        <v>78</v>
      </c>
      <c r="M119" s="26">
        <f>0.061*8</f>
        <v>0.48799999999999999</v>
      </c>
      <c r="N119" s="26">
        <f t="shared" ref="N119:N121" si="171">IF(F119=0,"",M119*I119)</f>
        <v>16.103999999999999</v>
      </c>
      <c r="O119" s="24">
        <f t="shared" ref="O119:O121" si="172">IF(F119=0,"",N119*L119)</f>
        <v>1256.1119999999999</v>
      </c>
      <c r="P119" s="27">
        <f t="shared" ref="P119:P121" si="173">IF(F119=0,"",(K119+O119)/I119)</f>
        <v>53.024000000000001</v>
      </c>
      <c r="Q119" s="24">
        <f t="shared" ref="Q119:Q121" si="174">IF(F119=0,"",(P119*I119))</f>
        <v>1749.7919999999999</v>
      </c>
      <c r="R119" s="123"/>
    </row>
    <row r="120" spans="1:18" x14ac:dyDescent="0.35">
      <c r="A120" s="71" t="str">
        <f>IF(TRIM(G120)&lt;&gt;"",COUNTA(G$11:$G120)&amp;"","")</f>
        <v>66</v>
      </c>
      <c r="B120" s="304"/>
      <c r="C120" s="304"/>
      <c r="D120" s="34"/>
      <c r="E120" s="56" t="s">
        <v>555</v>
      </c>
      <c r="F120" s="73">
        <v>6</v>
      </c>
      <c r="G120" s="74" t="s">
        <v>192</v>
      </c>
      <c r="H120" s="22">
        <v>0</v>
      </c>
      <c r="I120" s="51">
        <f t="shared" si="168"/>
        <v>6</v>
      </c>
      <c r="J120" s="23">
        <f>1.87*10</f>
        <v>18.700000000000003</v>
      </c>
      <c r="K120" s="24">
        <f t="shared" si="169"/>
        <v>112.20000000000002</v>
      </c>
      <c r="L120" s="25">
        <f t="shared" si="170"/>
        <v>78</v>
      </c>
      <c r="M120" s="26">
        <f>0.061*10</f>
        <v>0.61</v>
      </c>
      <c r="N120" s="26">
        <f t="shared" si="171"/>
        <v>3.66</v>
      </c>
      <c r="O120" s="24">
        <f t="shared" si="172"/>
        <v>285.48</v>
      </c>
      <c r="P120" s="27">
        <f t="shared" si="173"/>
        <v>66.280000000000015</v>
      </c>
      <c r="Q120" s="24">
        <f t="shared" si="174"/>
        <v>397.68000000000006</v>
      </c>
      <c r="R120" s="123"/>
    </row>
    <row r="121" spans="1:18" x14ac:dyDescent="0.35">
      <c r="A121" s="71" t="str">
        <f>IF(TRIM(G121)&lt;&gt;"",COUNTA(G$11:$G121)&amp;"","")</f>
        <v>67</v>
      </c>
      <c r="B121" s="304"/>
      <c r="C121" s="304"/>
      <c r="D121" s="34"/>
      <c r="E121" s="56" t="s">
        <v>556</v>
      </c>
      <c r="F121" s="73">
        <v>3</v>
      </c>
      <c r="G121" s="74" t="s">
        <v>192</v>
      </c>
      <c r="H121" s="22">
        <v>0</v>
      </c>
      <c r="I121" s="51">
        <f t="shared" si="168"/>
        <v>3</v>
      </c>
      <c r="J121" s="23">
        <f>1.87*12</f>
        <v>22.44</v>
      </c>
      <c r="K121" s="24">
        <f t="shared" si="169"/>
        <v>67.320000000000007</v>
      </c>
      <c r="L121" s="25">
        <f t="shared" si="170"/>
        <v>78</v>
      </c>
      <c r="M121" s="26">
        <f>0.061*12</f>
        <v>0.73199999999999998</v>
      </c>
      <c r="N121" s="26">
        <f t="shared" si="171"/>
        <v>2.1959999999999997</v>
      </c>
      <c r="O121" s="24">
        <f t="shared" si="172"/>
        <v>171.28799999999998</v>
      </c>
      <c r="P121" s="27">
        <f t="shared" si="173"/>
        <v>79.536000000000001</v>
      </c>
      <c r="Q121" s="24">
        <f t="shared" si="174"/>
        <v>238.608</v>
      </c>
      <c r="R121" s="123"/>
    </row>
    <row r="122" spans="1:18" x14ac:dyDescent="0.35">
      <c r="A122" s="71" t="str">
        <f>IF(TRIM(G122)&lt;&gt;"",COUNTA(G$11:$G122)&amp;"","")</f>
        <v/>
      </c>
      <c r="B122" s="304"/>
      <c r="C122" s="304"/>
      <c r="D122" s="34"/>
      <c r="E122" s="56"/>
      <c r="F122" s="73"/>
      <c r="G122" s="74"/>
      <c r="H122" s="22"/>
      <c r="I122" s="51"/>
      <c r="J122" s="23"/>
      <c r="K122" s="24"/>
      <c r="L122" s="25"/>
      <c r="M122" s="26"/>
      <c r="N122" s="26"/>
      <c r="O122" s="24"/>
      <c r="P122" s="27"/>
      <c r="Q122" s="24"/>
      <c r="R122" s="123"/>
    </row>
    <row r="123" spans="1:18" x14ac:dyDescent="0.35">
      <c r="A123" s="71" t="str">
        <f>IF(TRIM(G123)&lt;&gt;"",COUNTA(G$11:$G123)&amp;"","")</f>
        <v>68</v>
      </c>
      <c r="B123" s="304"/>
      <c r="C123" s="304"/>
      <c r="D123" s="34"/>
      <c r="E123" s="56" t="s">
        <v>557</v>
      </c>
      <c r="F123" s="73">
        <v>5</v>
      </c>
      <c r="G123" s="74" t="s">
        <v>192</v>
      </c>
      <c r="H123" s="22">
        <v>0</v>
      </c>
      <c r="I123" s="51">
        <f t="shared" ref="I123" si="175">IF(F123=0,"",F123+(F123*H123))</f>
        <v>5</v>
      </c>
      <c r="J123" s="23">
        <f>1.25*12</f>
        <v>15</v>
      </c>
      <c r="K123" s="24">
        <f t="shared" ref="K123" si="176">IF(F123=0,"",J123*I123)</f>
        <v>75</v>
      </c>
      <c r="L123" s="25">
        <f t="shared" ref="L123" si="177">$L$44</f>
        <v>78</v>
      </c>
      <c r="M123" s="26">
        <f>0.0575*12</f>
        <v>0.69000000000000006</v>
      </c>
      <c r="N123" s="26">
        <f t="shared" ref="N123" si="178">IF(F123=0,"",M123*I123)</f>
        <v>3.45</v>
      </c>
      <c r="O123" s="24">
        <f t="shared" ref="O123" si="179">IF(F123=0,"",N123*L123)</f>
        <v>269.10000000000002</v>
      </c>
      <c r="P123" s="27">
        <f t="shared" ref="P123" si="180">IF(F123=0,"",(K123+O123)/I123)</f>
        <v>68.820000000000007</v>
      </c>
      <c r="Q123" s="24">
        <f t="shared" ref="Q123" si="181">IF(F123=0,"",(P123*I123))</f>
        <v>344.1</v>
      </c>
      <c r="R123" s="123"/>
    </row>
    <row r="124" spans="1:18" x14ac:dyDescent="0.35">
      <c r="A124" s="71" t="str">
        <f>IF(TRIM(G124)&lt;&gt;"",COUNTA(G$11:$G124)&amp;"","")</f>
        <v/>
      </c>
      <c r="B124" s="304"/>
      <c r="C124" s="304"/>
      <c r="D124" s="34"/>
      <c r="E124" s="56"/>
      <c r="F124" s="73"/>
      <c r="G124" s="74"/>
      <c r="H124" s="22"/>
      <c r="I124" s="51"/>
      <c r="J124" s="23"/>
      <c r="K124" s="24"/>
      <c r="L124" s="25"/>
      <c r="M124" s="26"/>
      <c r="N124" s="26"/>
      <c r="O124" s="24"/>
      <c r="P124" s="27"/>
      <c r="Q124" s="24"/>
      <c r="R124" s="123"/>
    </row>
    <row r="125" spans="1:18" x14ac:dyDescent="0.35">
      <c r="A125" s="71" t="str">
        <f>IF(TRIM(G125)&lt;&gt;"",COUNTA(G$11:$G125)&amp;"","")</f>
        <v>69</v>
      </c>
      <c r="B125" s="304"/>
      <c r="C125" s="304"/>
      <c r="D125" s="34"/>
      <c r="E125" s="259" t="s">
        <v>558</v>
      </c>
      <c r="F125" s="255">
        <v>2196.8200000000002</v>
      </c>
      <c r="G125" s="260" t="s">
        <v>141</v>
      </c>
      <c r="H125" s="22"/>
      <c r="I125" s="51"/>
      <c r="J125" s="23"/>
      <c r="K125" s="24"/>
      <c r="L125" s="25"/>
      <c r="M125" s="26"/>
      <c r="N125" s="26"/>
      <c r="O125" s="24"/>
      <c r="P125" s="27"/>
      <c r="Q125" s="24"/>
      <c r="R125" s="123"/>
    </row>
    <row r="126" spans="1:18" x14ac:dyDescent="0.35">
      <c r="A126" s="71" t="str">
        <f>IF(TRIM(G126)&lt;&gt;"",COUNTA(G$11:$G126)&amp;"","")</f>
        <v>70</v>
      </c>
      <c r="B126" s="304"/>
      <c r="C126" s="304"/>
      <c r="D126" s="34"/>
      <c r="E126" s="56" t="s">
        <v>561</v>
      </c>
      <c r="F126" s="73">
        <f>5+5+23</f>
        <v>33</v>
      </c>
      <c r="G126" s="74" t="s">
        <v>192</v>
      </c>
      <c r="H126" s="22">
        <v>0</v>
      </c>
      <c r="I126" s="51">
        <f t="shared" ref="I126:I132" si="182">IF(F126=0,"",F126+(F126*H126))</f>
        <v>33</v>
      </c>
      <c r="J126" s="23">
        <f>4.18*8</f>
        <v>33.44</v>
      </c>
      <c r="K126" s="24">
        <f t="shared" ref="K126:K132" si="183">IF(F126=0,"",J126*I126)</f>
        <v>1103.52</v>
      </c>
      <c r="L126" s="25">
        <f t="shared" ref="L126:L132" si="184">$L$44</f>
        <v>78</v>
      </c>
      <c r="M126" s="26">
        <v>0.43471999999999994</v>
      </c>
      <c r="N126" s="26">
        <f t="shared" ref="N126:N132" si="185">IF(F126=0,"",M126*I126)</f>
        <v>14.345759999999999</v>
      </c>
      <c r="O126" s="24">
        <f t="shared" ref="O126:O132" si="186">IF(F126=0,"",N126*L126)</f>
        <v>1118.9692799999998</v>
      </c>
      <c r="P126" s="27">
        <f t="shared" ref="P126:P132" si="187">IF(F126=0,"",(K126+O126)/I126)</f>
        <v>67.348159999999993</v>
      </c>
      <c r="Q126" s="24">
        <f t="shared" ref="Q126:Q132" si="188">IF(F126=0,"",(P126*I126))</f>
        <v>2222.4892799999998</v>
      </c>
      <c r="R126" s="123"/>
    </row>
    <row r="127" spans="1:18" x14ac:dyDescent="0.35">
      <c r="A127" s="71" t="str">
        <f>IF(TRIM(G127)&lt;&gt;"",COUNTA(G$11:$G127)&amp;"","")</f>
        <v>71</v>
      </c>
      <c r="B127" s="304"/>
      <c r="C127" s="304"/>
      <c r="D127" s="34"/>
      <c r="E127" s="56" t="s">
        <v>562</v>
      </c>
      <c r="F127" s="73">
        <v>35</v>
      </c>
      <c r="G127" s="74" t="s">
        <v>192</v>
      </c>
      <c r="H127" s="22">
        <v>0</v>
      </c>
      <c r="I127" s="51">
        <f t="shared" si="182"/>
        <v>35</v>
      </c>
      <c r="J127" s="23">
        <f>4.18*10</f>
        <v>41.8</v>
      </c>
      <c r="K127" s="24">
        <f t="shared" si="183"/>
        <v>1463</v>
      </c>
      <c r="L127" s="25">
        <f t="shared" si="184"/>
        <v>78</v>
      </c>
      <c r="M127" s="26">
        <v>0.54339999999999988</v>
      </c>
      <c r="N127" s="26">
        <f t="shared" si="185"/>
        <v>19.018999999999995</v>
      </c>
      <c r="O127" s="24">
        <f t="shared" si="186"/>
        <v>1483.4819999999995</v>
      </c>
      <c r="P127" s="27">
        <f t="shared" si="187"/>
        <v>84.18519999999998</v>
      </c>
      <c r="Q127" s="24">
        <f t="shared" si="188"/>
        <v>2946.4819999999995</v>
      </c>
      <c r="R127" s="123"/>
    </row>
    <row r="128" spans="1:18" x14ac:dyDescent="0.35">
      <c r="A128" s="71" t="str">
        <f>IF(TRIM(G128)&lt;&gt;"",COUNTA(G$11:$G128)&amp;"","")</f>
        <v>72</v>
      </c>
      <c r="B128" s="304"/>
      <c r="C128" s="304"/>
      <c r="D128" s="34"/>
      <c r="E128" s="56" t="s">
        <v>563</v>
      </c>
      <c r="F128" s="73">
        <v>3</v>
      </c>
      <c r="G128" s="74" t="s">
        <v>192</v>
      </c>
      <c r="H128" s="22">
        <v>0</v>
      </c>
      <c r="I128" s="51">
        <f t="shared" si="182"/>
        <v>3</v>
      </c>
      <c r="J128" s="23">
        <f>4.18*12</f>
        <v>50.16</v>
      </c>
      <c r="K128" s="24">
        <f t="shared" si="183"/>
        <v>150.47999999999999</v>
      </c>
      <c r="L128" s="25">
        <f t="shared" si="184"/>
        <v>78</v>
      </c>
      <c r="M128" s="26">
        <v>0.65207999999999988</v>
      </c>
      <c r="N128" s="26">
        <f t="shared" si="185"/>
        <v>1.9562399999999998</v>
      </c>
      <c r="O128" s="24">
        <f t="shared" si="186"/>
        <v>152.58671999999999</v>
      </c>
      <c r="P128" s="27">
        <f t="shared" si="187"/>
        <v>101.02224</v>
      </c>
      <c r="Q128" s="24">
        <f t="shared" si="188"/>
        <v>303.06671999999998</v>
      </c>
      <c r="R128" s="123"/>
    </row>
    <row r="129" spans="1:18" x14ac:dyDescent="0.35">
      <c r="A129" s="71" t="str">
        <f>IF(TRIM(G129)&lt;&gt;"",COUNTA(G$11:$G129)&amp;"","")</f>
        <v>73</v>
      </c>
      <c r="B129" s="304"/>
      <c r="C129" s="304"/>
      <c r="D129" s="34"/>
      <c r="E129" s="56" t="s">
        <v>565</v>
      </c>
      <c r="F129" s="73">
        <v>1</v>
      </c>
      <c r="G129" s="74" t="s">
        <v>192</v>
      </c>
      <c r="H129" s="22">
        <v>0</v>
      </c>
      <c r="I129" s="51">
        <f t="shared" si="182"/>
        <v>1</v>
      </c>
      <c r="J129" s="23">
        <f>4.18*14</f>
        <v>58.519999999999996</v>
      </c>
      <c r="K129" s="24">
        <f t="shared" si="183"/>
        <v>58.519999999999996</v>
      </c>
      <c r="L129" s="25">
        <f t="shared" si="184"/>
        <v>78</v>
      </c>
      <c r="M129" s="26">
        <v>0.76075999999999988</v>
      </c>
      <c r="N129" s="26">
        <f t="shared" si="185"/>
        <v>0.76075999999999988</v>
      </c>
      <c r="O129" s="24">
        <f t="shared" si="186"/>
        <v>59.339279999999988</v>
      </c>
      <c r="P129" s="27">
        <f t="shared" si="187"/>
        <v>117.85927999999998</v>
      </c>
      <c r="Q129" s="24">
        <f t="shared" si="188"/>
        <v>117.85927999999998</v>
      </c>
      <c r="R129" s="123"/>
    </row>
    <row r="130" spans="1:18" x14ac:dyDescent="0.35">
      <c r="A130" s="71" t="str">
        <f>IF(TRIM(G130)&lt;&gt;"",COUNTA(G$11:$G130)&amp;"","")</f>
        <v>74</v>
      </c>
      <c r="B130" s="304"/>
      <c r="C130" s="304"/>
      <c r="D130" s="34"/>
      <c r="E130" s="56" t="s">
        <v>560</v>
      </c>
      <c r="F130" s="73">
        <v>31</v>
      </c>
      <c r="G130" s="74" t="s">
        <v>192</v>
      </c>
      <c r="H130" s="22">
        <v>0</v>
      </c>
      <c r="I130" s="51">
        <f t="shared" si="182"/>
        <v>31</v>
      </c>
      <c r="J130" s="23">
        <f>4.18*16</f>
        <v>66.88</v>
      </c>
      <c r="K130" s="24">
        <f t="shared" si="183"/>
        <v>2073.2799999999997</v>
      </c>
      <c r="L130" s="25">
        <f t="shared" si="184"/>
        <v>78</v>
      </c>
      <c r="M130" s="26">
        <v>0.86943999999999988</v>
      </c>
      <c r="N130" s="26">
        <f t="shared" si="185"/>
        <v>26.952639999999995</v>
      </c>
      <c r="O130" s="24">
        <f t="shared" si="186"/>
        <v>2102.3059199999998</v>
      </c>
      <c r="P130" s="27">
        <f t="shared" si="187"/>
        <v>134.69631999999999</v>
      </c>
      <c r="Q130" s="24">
        <f t="shared" si="188"/>
        <v>4175.5859199999995</v>
      </c>
      <c r="R130" s="123"/>
    </row>
    <row r="131" spans="1:18" x14ac:dyDescent="0.35">
      <c r="A131" s="71" t="str">
        <f>IF(TRIM(G131)&lt;&gt;"",COUNTA(G$11:$G131)&amp;"","")</f>
        <v>75</v>
      </c>
      <c r="B131" s="304"/>
      <c r="C131" s="304"/>
      <c r="D131" s="34"/>
      <c r="E131" s="56" t="s">
        <v>564</v>
      </c>
      <c r="F131" s="73">
        <v>10</v>
      </c>
      <c r="G131" s="74" t="s">
        <v>192</v>
      </c>
      <c r="H131" s="22">
        <v>0</v>
      </c>
      <c r="I131" s="51">
        <f t="shared" si="182"/>
        <v>10</v>
      </c>
      <c r="J131" s="23">
        <f>4.18*18</f>
        <v>75.239999999999995</v>
      </c>
      <c r="K131" s="24">
        <f t="shared" si="183"/>
        <v>752.4</v>
      </c>
      <c r="L131" s="25">
        <f t="shared" si="184"/>
        <v>78</v>
      </c>
      <c r="M131" s="26">
        <v>0.97811999999999988</v>
      </c>
      <c r="N131" s="26">
        <f t="shared" si="185"/>
        <v>9.7811999999999983</v>
      </c>
      <c r="O131" s="24">
        <f t="shared" si="186"/>
        <v>762.93359999999984</v>
      </c>
      <c r="P131" s="27">
        <f t="shared" si="187"/>
        <v>151.53335999999999</v>
      </c>
      <c r="Q131" s="24">
        <f t="shared" si="188"/>
        <v>1515.3335999999999</v>
      </c>
      <c r="R131" s="123"/>
    </row>
    <row r="132" spans="1:18" x14ac:dyDescent="0.35">
      <c r="A132" s="71" t="str">
        <f>IF(TRIM(G132)&lt;&gt;"",COUNTA(G$11:$G132)&amp;"","")</f>
        <v>76</v>
      </c>
      <c r="B132" s="304"/>
      <c r="C132" s="304"/>
      <c r="D132" s="34"/>
      <c r="E132" s="56" t="s">
        <v>559</v>
      </c>
      <c r="F132" s="73">
        <v>28</v>
      </c>
      <c r="G132" s="74" t="s">
        <v>192</v>
      </c>
      <c r="H132" s="22">
        <v>0</v>
      </c>
      <c r="I132" s="51">
        <f t="shared" si="182"/>
        <v>28</v>
      </c>
      <c r="J132" s="23">
        <f>4.18*20</f>
        <v>83.6</v>
      </c>
      <c r="K132" s="24">
        <f t="shared" si="183"/>
        <v>2340.7999999999997</v>
      </c>
      <c r="L132" s="25">
        <f t="shared" si="184"/>
        <v>78</v>
      </c>
      <c r="M132" s="26">
        <v>1.0867999999999998</v>
      </c>
      <c r="N132" s="26">
        <f t="shared" si="185"/>
        <v>30.430399999999992</v>
      </c>
      <c r="O132" s="24">
        <f t="shared" si="186"/>
        <v>2373.5711999999994</v>
      </c>
      <c r="P132" s="27">
        <f t="shared" si="187"/>
        <v>168.37039999999999</v>
      </c>
      <c r="Q132" s="24">
        <f t="shared" si="188"/>
        <v>4714.3711999999996</v>
      </c>
      <c r="R132" s="123"/>
    </row>
    <row r="133" spans="1:18" x14ac:dyDescent="0.35">
      <c r="A133" s="71" t="str">
        <f>IF(TRIM(G133)&lt;&gt;"",COUNTA(G$11:$G133)&amp;"","")</f>
        <v/>
      </c>
      <c r="B133" s="304"/>
      <c r="C133" s="304"/>
      <c r="D133" s="34"/>
      <c r="E133" s="56"/>
      <c r="F133" s="73"/>
      <c r="G133" s="74"/>
      <c r="H133" s="22"/>
      <c r="I133" s="51"/>
      <c r="J133" s="23"/>
      <c r="K133" s="24"/>
      <c r="L133" s="25"/>
      <c r="M133" s="26"/>
      <c r="N133" s="26"/>
      <c r="O133" s="24"/>
      <c r="P133" s="27"/>
      <c r="Q133" s="24"/>
      <c r="R133" s="123"/>
    </row>
    <row r="134" spans="1:18" x14ac:dyDescent="0.35">
      <c r="A134" s="71" t="str">
        <f>IF(TRIM(G134)&lt;&gt;"",COUNTA(G$11:$G134)&amp;"","")</f>
        <v/>
      </c>
      <c r="B134" s="304"/>
      <c r="C134" s="304"/>
      <c r="D134" s="34"/>
      <c r="E134" s="259" t="s">
        <v>566</v>
      </c>
      <c r="F134" s="73"/>
      <c r="G134" s="74"/>
      <c r="H134" s="22"/>
      <c r="I134" s="51"/>
      <c r="J134" s="23"/>
      <c r="K134" s="24"/>
      <c r="L134" s="25"/>
      <c r="M134" s="26"/>
      <c r="N134" s="26"/>
      <c r="O134" s="24"/>
      <c r="P134" s="27"/>
      <c r="Q134" s="24"/>
      <c r="R134" s="123"/>
    </row>
    <row r="135" spans="1:18" x14ac:dyDescent="0.35">
      <c r="A135" s="71" t="str">
        <f>IF(TRIM(G135)&lt;&gt;"",COUNTA(G$11:$G135)&amp;"","")</f>
        <v>77</v>
      </c>
      <c r="B135" s="304"/>
      <c r="C135" s="304"/>
      <c r="D135" s="34"/>
      <c r="E135" s="56" t="s">
        <v>567</v>
      </c>
      <c r="F135" s="73">
        <f>492.37/16</f>
        <v>30.773125</v>
      </c>
      <c r="G135" s="74" t="s">
        <v>192</v>
      </c>
      <c r="H135" s="22">
        <v>0</v>
      </c>
      <c r="I135" s="51">
        <f t="shared" ref="I135" si="189">IF(F135=0,"",F135+(F135*H135))</f>
        <v>30.773125</v>
      </c>
      <c r="J135" s="23">
        <f>2.8*16</f>
        <v>44.8</v>
      </c>
      <c r="K135" s="24">
        <f t="shared" ref="K135" si="190">IF(F135=0,"",J135*I135)</f>
        <v>1378.636</v>
      </c>
      <c r="L135" s="25">
        <f t="shared" ref="L135" si="191">$L$44</f>
        <v>78</v>
      </c>
      <c r="M135" s="26">
        <f>0.085*16</f>
        <v>1.36</v>
      </c>
      <c r="N135" s="26">
        <f t="shared" ref="N135" si="192">IF(F135=0,"",M135*I135)</f>
        <v>41.851450000000007</v>
      </c>
      <c r="O135" s="24">
        <f t="shared" ref="O135" si="193">IF(F135=0,"",N135*L135)</f>
        <v>3264.4131000000007</v>
      </c>
      <c r="P135" s="27">
        <f t="shared" ref="P135" si="194">IF(F135=0,"",(K135+O135)/I135)</f>
        <v>150.88</v>
      </c>
      <c r="Q135" s="24">
        <f t="shared" ref="Q135" si="195">IF(F135=0,"",(P135*I135))</f>
        <v>4643.0491000000002</v>
      </c>
      <c r="R135" s="123"/>
    </row>
    <row r="136" spans="1:18" x14ac:dyDescent="0.35">
      <c r="A136" s="71" t="str">
        <f>IF(TRIM(G136)&lt;&gt;"",COUNTA(G$11:$G136)&amp;"","")</f>
        <v/>
      </c>
      <c r="B136" s="304"/>
      <c r="C136" s="304"/>
      <c r="D136" s="34"/>
      <c r="E136" s="56"/>
      <c r="F136" s="73"/>
      <c r="G136" s="74"/>
      <c r="H136" s="22"/>
      <c r="I136" s="51"/>
      <c r="J136" s="23"/>
      <c r="K136" s="24"/>
      <c r="L136" s="25"/>
      <c r="M136" s="26"/>
      <c r="N136" s="26"/>
      <c r="O136" s="24"/>
      <c r="P136" s="27"/>
      <c r="Q136" s="24"/>
      <c r="R136" s="123"/>
    </row>
    <row r="137" spans="1:18" x14ac:dyDescent="0.35">
      <c r="A137" s="71" t="str">
        <f>IF(TRIM(G137)&lt;&gt;"",COUNTA(G$11:$G137)&amp;"","")</f>
        <v/>
      </c>
      <c r="B137" s="304"/>
      <c r="C137" s="304"/>
      <c r="D137" s="34"/>
      <c r="E137" s="259" t="s">
        <v>568</v>
      </c>
      <c r="F137" s="73"/>
      <c r="G137" s="74"/>
      <c r="H137" s="22"/>
      <c r="I137" s="51"/>
      <c r="J137" s="23"/>
      <c r="K137" s="24"/>
      <c r="L137" s="25"/>
      <c r="M137" s="26"/>
      <c r="N137" s="26"/>
      <c r="O137" s="24"/>
      <c r="P137" s="27"/>
      <c r="Q137" s="24"/>
      <c r="R137" s="123"/>
    </row>
    <row r="138" spans="1:18" x14ac:dyDescent="0.35">
      <c r="A138" s="71" t="str">
        <f>IF(TRIM(G138)&lt;&gt;"",COUNTA(G$11:$G138)&amp;"","")</f>
        <v>78</v>
      </c>
      <c r="B138" s="305"/>
      <c r="C138" s="305"/>
      <c r="D138" s="34"/>
      <c r="E138" s="56" t="s">
        <v>522</v>
      </c>
      <c r="F138" s="73">
        <f>311.45/16</f>
        <v>19.465624999999999</v>
      </c>
      <c r="G138" s="74" t="s">
        <v>192</v>
      </c>
      <c r="H138" s="22">
        <v>0.05</v>
      </c>
      <c r="I138" s="51">
        <f t="shared" ref="I138" si="196">IF(F138=0,"",F138+(F138*H138))</f>
        <v>20.438906249999999</v>
      </c>
      <c r="J138" s="23">
        <f>0.48*16</f>
        <v>7.68</v>
      </c>
      <c r="K138" s="24">
        <f t="shared" ref="K138" si="197">IF(F138=0,"",J138*I138)</f>
        <v>156.9708</v>
      </c>
      <c r="L138" s="25">
        <f t="shared" ref="L138" si="198">$L$44</f>
        <v>78</v>
      </c>
      <c r="M138" s="26">
        <f>0.0475*16</f>
        <v>0.76</v>
      </c>
      <c r="N138" s="26">
        <f t="shared" ref="N138" si="199">IF(F138=0,"",M138*I138)</f>
        <v>15.533568749999999</v>
      </c>
      <c r="O138" s="24">
        <f t="shared" ref="O138" si="200">IF(F138=0,"",N138*L138)</f>
        <v>1211.6183624999999</v>
      </c>
      <c r="P138" s="27">
        <f t="shared" ref="P138" si="201">IF(F138=0,"",(K138+O138)/I138)</f>
        <v>66.959999999999994</v>
      </c>
      <c r="Q138" s="24">
        <f t="shared" ref="Q138" si="202">IF(F138=0,"",(P138*I138))</f>
        <v>1368.5891624999997</v>
      </c>
      <c r="R138" s="123"/>
    </row>
    <row r="139" spans="1:18" x14ac:dyDescent="0.35">
      <c r="A139" s="71" t="str">
        <f>IF(TRIM(G139)&lt;&gt;"",COUNTA(G$11:$G139)&amp;"","")</f>
        <v/>
      </c>
      <c r="B139" s="75"/>
      <c r="C139" s="75"/>
      <c r="D139" s="34"/>
      <c r="E139" s="56"/>
      <c r="F139" s="73"/>
      <c r="G139" s="74"/>
      <c r="H139" s="22"/>
      <c r="I139" s="51"/>
      <c r="J139" s="23"/>
      <c r="K139" s="24"/>
      <c r="L139" s="25"/>
      <c r="M139" s="26"/>
      <c r="N139" s="26"/>
      <c r="O139" s="24"/>
      <c r="P139" s="27"/>
      <c r="Q139" s="24"/>
      <c r="R139" s="123"/>
    </row>
    <row r="140" spans="1:18" x14ac:dyDescent="0.35">
      <c r="A140" s="71" t="str">
        <f>IF(TRIM(G140)&lt;&gt;"",COUNTA(G$11:$G140)&amp;"","")</f>
        <v/>
      </c>
      <c r="B140" s="75"/>
      <c r="C140" s="75"/>
      <c r="D140" s="34"/>
      <c r="E140" s="268" t="s">
        <v>570</v>
      </c>
      <c r="F140" s="73"/>
      <c r="G140" s="74"/>
      <c r="H140" s="22"/>
      <c r="I140" s="51"/>
      <c r="J140" s="23"/>
      <c r="K140" s="24"/>
      <c r="L140" s="25"/>
      <c r="M140" s="26"/>
      <c r="N140" s="26"/>
      <c r="O140" s="24"/>
      <c r="P140" s="27"/>
      <c r="Q140" s="24"/>
      <c r="R140" s="123"/>
    </row>
    <row r="141" spans="1:18" x14ac:dyDescent="0.35">
      <c r="A141" s="71" t="str">
        <f>IF(TRIM(G141)&lt;&gt;"",COUNTA(G$11:$G141)&amp;"","")</f>
        <v/>
      </c>
      <c r="B141" s="303" t="s">
        <v>608</v>
      </c>
      <c r="C141" s="303" t="s">
        <v>608</v>
      </c>
      <c r="D141" s="34"/>
      <c r="E141" s="259" t="s">
        <v>513</v>
      </c>
      <c r="F141" s="73"/>
      <c r="G141" s="74"/>
      <c r="H141" s="22"/>
      <c r="I141" s="51"/>
      <c r="J141" s="23"/>
      <c r="K141" s="24"/>
      <c r="L141" s="25"/>
      <c r="M141" s="26"/>
      <c r="N141" s="26"/>
      <c r="O141" s="24"/>
      <c r="P141" s="27"/>
      <c r="Q141" s="24"/>
      <c r="R141" s="123"/>
    </row>
    <row r="142" spans="1:18" x14ac:dyDescent="0.35">
      <c r="A142" s="71" t="str">
        <f>IF(TRIM(G142)&lt;&gt;"",COUNTA(G$11:$G142)&amp;"","")</f>
        <v>79</v>
      </c>
      <c r="B142" s="304"/>
      <c r="C142" s="304"/>
      <c r="D142" s="34"/>
      <c r="E142" s="259" t="s">
        <v>515</v>
      </c>
      <c r="F142" s="255">
        <v>276.48</v>
      </c>
      <c r="G142" s="260" t="s">
        <v>154</v>
      </c>
      <c r="H142" s="22"/>
      <c r="I142" s="51"/>
      <c r="J142" s="23"/>
      <c r="K142" s="24"/>
      <c r="L142" s="25"/>
      <c r="M142" s="26"/>
      <c r="N142" s="26"/>
      <c r="O142" s="24"/>
      <c r="P142" s="27"/>
      <c r="Q142" s="24"/>
      <c r="R142" s="123"/>
    </row>
    <row r="143" spans="1:18" x14ac:dyDescent="0.35">
      <c r="A143" s="71" t="str">
        <f>IF(TRIM(G143)&lt;&gt;"",COUNTA(G$11:$G143)&amp;"","")</f>
        <v>80</v>
      </c>
      <c r="B143" s="304"/>
      <c r="C143" s="304"/>
      <c r="D143" s="34"/>
      <c r="E143" s="56" t="s">
        <v>517</v>
      </c>
      <c r="F143" s="73">
        <f>F142/1.33</f>
        <v>207.87969924812029</v>
      </c>
      <c r="G143" s="74" t="s">
        <v>192</v>
      </c>
      <c r="H143" s="22">
        <v>0.05</v>
      </c>
      <c r="I143" s="51">
        <f t="shared" ref="I143:I146" si="203">IF(F143=0,"",F143+(F143*H143))</f>
        <v>218.27368421052631</v>
      </c>
      <c r="J143" s="23">
        <f>0.78*(104/12)</f>
        <v>6.76</v>
      </c>
      <c r="K143" s="24">
        <f t="shared" ref="K143:K146" si="204">IF(F143=0,"",J143*I143)</f>
        <v>1475.5301052631578</v>
      </c>
      <c r="L143" s="25">
        <f t="shared" ref="L143:L146" si="205">$L$44</f>
        <v>78</v>
      </c>
      <c r="M143" s="26">
        <f>0.0543*(104/12)</f>
        <v>0.47059999999999996</v>
      </c>
      <c r="N143" s="26">
        <f t="shared" ref="N143:N146" si="206">IF(F143=0,"",M143*I143)</f>
        <v>102.71959578947367</v>
      </c>
      <c r="O143" s="24">
        <f t="shared" ref="O143:O146" si="207">IF(F143=0,"",N143*L143)</f>
        <v>8012.1284715789461</v>
      </c>
      <c r="P143" s="27">
        <f t="shared" ref="P143:P146" si="208">IF(F143=0,"",(K143+O143)/I143)</f>
        <v>43.466799999999999</v>
      </c>
      <c r="Q143" s="24">
        <f t="shared" ref="Q143:Q146" si="209">IF(F143=0,"",(P143*I143))</f>
        <v>9487.6585768421046</v>
      </c>
      <c r="R143" s="123"/>
    </row>
    <row r="144" spans="1:18" x14ac:dyDescent="0.35">
      <c r="A144" s="71" t="str">
        <f>IF(TRIM(G144)&lt;&gt;"",COUNTA(G$11:$G144)&amp;"","")</f>
        <v>81</v>
      </c>
      <c r="B144" s="304"/>
      <c r="C144" s="304"/>
      <c r="D144" s="34"/>
      <c r="E144" s="56" t="s">
        <v>516</v>
      </c>
      <c r="F144" s="73">
        <f>(F142*2)/16</f>
        <v>34.56</v>
      </c>
      <c r="G144" s="74" t="s">
        <v>192</v>
      </c>
      <c r="H144" s="22">
        <v>0.05</v>
      </c>
      <c r="I144" s="51">
        <f t="shared" si="203"/>
        <v>36.288000000000004</v>
      </c>
      <c r="J144" s="23">
        <f>0.78*16</f>
        <v>12.48</v>
      </c>
      <c r="K144" s="24">
        <f t="shared" si="204"/>
        <v>452.87424000000004</v>
      </c>
      <c r="L144" s="25">
        <f t="shared" si="205"/>
        <v>78</v>
      </c>
      <c r="M144" s="26">
        <f>0.0543*16</f>
        <v>0.86880000000000002</v>
      </c>
      <c r="N144" s="26">
        <f t="shared" si="206"/>
        <v>31.527014400000002</v>
      </c>
      <c r="O144" s="24">
        <f t="shared" si="207"/>
        <v>2459.1071232000004</v>
      </c>
      <c r="P144" s="27">
        <f t="shared" si="208"/>
        <v>80.246400000000008</v>
      </c>
      <c r="Q144" s="24">
        <f t="shared" si="209"/>
        <v>2911.9813632000005</v>
      </c>
      <c r="R144" s="123"/>
    </row>
    <row r="145" spans="1:18" x14ac:dyDescent="0.35">
      <c r="A145" s="71" t="str">
        <f>IF(TRIM(G145)&lt;&gt;"",COUNTA(G$11:$G145)&amp;"","")</f>
        <v>82</v>
      </c>
      <c r="B145" s="304"/>
      <c r="C145" s="304"/>
      <c r="D145" s="34"/>
      <c r="E145" s="56" t="s">
        <v>516</v>
      </c>
      <c r="F145" s="73">
        <f>F142/16</f>
        <v>17.28</v>
      </c>
      <c r="G145" s="74" t="s">
        <v>192</v>
      </c>
      <c r="H145" s="22">
        <v>0.05</v>
      </c>
      <c r="I145" s="51">
        <f t="shared" si="203"/>
        <v>18.144000000000002</v>
      </c>
      <c r="J145" s="23">
        <f>0.78*16</f>
        <v>12.48</v>
      </c>
      <c r="K145" s="24">
        <f t="shared" si="204"/>
        <v>226.43712000000002</v>
      </c>
      <c r="L145" s="25">
        <f t="shared" si="205"/>
        <v>78</v>
      </c>
      <c r="M145" s="26">
        <f>0.0543*16</f>
        <v>0.86880000000000002</v>
      </c>
      <c r="N145" s="26">
        <f t="shared" si="206"/>
        <v>15.763507200000001</v>
      </c>
      <c r="O145" s="24">
        <f t="shared" si="207"/>
        <v>1229.5535616000002</v>
      </c>
      <c r="P145" s="27">
        <f t="shared" si="208"/>
        <v>80.246400000000008</v>
      </c>
      <c r="Q145" s="24">
        <f t="shared" si="209"/>
        <v>1455.9906816000002</v>
      </c>
      <c r="R145" s="123"/>
    </row>
    <row r="146" spans="1:18" x14ac:dyDescent="0.35">
      <c r="A146" s="71" t="str">
        <f>IF(TRIM(G146)&lt;&gt;"",COUNTA(G$11:$G146)&amp;"","")</f>
        <v>83</v>
      </c>
      <c r="B146" s="304"/>
      <c r="C146" s="304"/>
      <c r="D146" s="34"/>
      <c r="E146" s="56" t="s">
        <v>541</v>
      </c>
      <c r="F146" s="73">
        <f>(F142*9)/32</f>
        <v>77.760000000000005</v>
      </c>
      <c r="G146" s="74" t="s">
        <v>192</v>
      </c>
      <c r="H146" s="22">
        <v>0.05</v>
      </c>
      <c r="I146" s="51">
        <f t="shared" si="203"/>
        <v>81.64800000000001</v>
      </c>
      <c r="J146" s="23">
        <f>44.05</f>
        <v>44.05</v>
      </c>
      <c r="K146" s="24">
        <f t="shared" si="204"/>
        <v>3596.5944000000004</v>
      </c>
      <c r="L146" s="25">
        <f t="shared" si="205"/>
        <v>78</v>
      </c>
      <c r="M146" s="26">
        <f>0.022*32</f>
        <v>0.70399999999999996</v>
      </c>
      <c r="N146" s="26">
        <f t="shared" si="206"/>
        <v>57.480192000000002</v>
      </c>
      <c r="O146" s="24">
        <f t="shared" si="207"/>
        <v>4483.454976</v>
      </c>
      <c r="P146" s="27">
        <f t="shared" si="208"/>
        <v>98.962000000000003</v>
      </c>
      <c r="Q146" s="24">
        <f t="shared" si="209"/>
        <v>8080.0493760000008</v>
      </c>
      <c r="R146" s="123"/>
    </row>
    <row r="147" spans="1:18" x14ac:dyDescent="0.35">
      <c r="A147" s="71" t="str">
        <f>IF(TRIM(G147)&lt;&gt;"",COUNTA(G$11:$G147)&amp;"","")</f>
        <v/>
      </c>
      <c r="B147" s="304"/>
      <c r="C147" s="304"/>
      <c r="D147" s="34"/>
      <c r="E147" s="56"/>
      <c r="F147" s="73"/>
      <c r="G147" s="74"/>
      <c r="H147" s="22"/>
      <c r="I147" s="51"/>
      <c r="J147" s="23"/>
      <c r="K147" s="24"/>
      <c r="L147" s="25"/>
      <c r="M147" s="26"/>
      <c r="N147" s="26"/>
      <c r="O147" s="24"/>
      <c r="P147" s="27"/>
      <c r="Q147" s="24"/>
      <c r="R147" s="123"/>
    </row>
    <row r="148" spans="1:18" x14ac:dyDescent="0.35">
      <c r="A148" s="71" t="str">
        <f>IF(TRIM(G148)&lt;&gt;"",COUNTA(G$11:$G148)&amp;"","")</f>
        <v>84</v>
      </c>
      <c r="B148" s="304"/>
      <c r="C148" s="304"/>
      <c r="D148" s="34"/>
      <c r="E148" s="259" t="s">
        <v>571</v>
      </c>
      <c r="F148" s="255">
        <v>36.35</v>
      </c>
      <c r="G148" s="260" t="s">
        <v>154</v>
      </c>
      <c r="H148" s="22"/>
      <c r="I148" s="51"/>
      <c r="J148" s="23"/>
      <c r="K148" s="24"/>
      <c r="L148" s="25"/>
      <c r="M148" s="26"/>
      <c r="N148" s="26"/>
      <c r="O148" s="24"/>
      <c r="P148" s="27"/>
      <c r="Q148" s="24"/>
      <c r="R148" s="123"/>
    </row>
    <row r="149" spans="1:18" x14ac:dyDescent="0.35">
      <c r="A149" s="71" t="str">
        <f>IF(TRIM(G149)&lt;&gt;"",COUNTA(G$11:$G149)&amp;"","")</f>
        <v>85</v>
      </c>
      <c r="B149" s="304"/>
      <c r="C149" s="304"/>
      <c r="D149" s="34"/>
      <c r="E149" s="56" t="s">
        <v>517</v>
      </c>
      <c r="F149" s="73">
        <f>F148/1.33</f>
        <v>27.330827067669173</v>
      </c>
      <c r="G149" s="74" t="s">
        <v>192</v>
      </c>
      <c r="H149" s="22">
        <v>0.05</v>
      </c>
      <c r="I149" s="51">
        <f t="shared" ref="I149:I151" si="210">IF(F149=0,"",F149+(F149*H149))</f>
        <v>28.69736842105263</v>
      </c>
      <c r="J149" s="23">
        <f>0.78*(104/12)</f>
        <v>6.76</v>
      </c>
      <c r="K149" s="24">
        <f t="shared" ref="K149:K151" si="211">IF(F149=0,"",J149*I149)</f>
        <v>193.99421052631578</v>
      </c>
      <c r="L149" s="25">
        <f t="shared" ref="L149:L151" si="212">$L$44</f>
        <v>78</v>
      </c>
      <c r="M149" s="26">
        <f>0.0543*(104/12)</f>
        <v>0.47059999999999996</v>
      </c>
      <c r="N149" s="26">
        <f t="shared" ref="N149:N151" si="213">IF(F149=0,"",M149*I149)</f>
        <v>13.504981578947367</v>
      </c>
      <c r="O149" s="24">
        <f t="shared" ref="O149:O151" si="214">IF(F149=0,"",N149*L149)</f>
        <v>1053.3885631578946</v>
      </c>
      <c r="P149" s="27">
        <f t="shared" ref="P149:P151" si="215">IF(F149=0,"",(K149+O149)/I149)</f>
        <v>43.466799999999999</v>
      </c>
      <c r="Q149" s="24">
        <f t="shared" ref="Q149:Q151" si="216">IF(F149=0,"",(P149*I149))</f>
        <v>1247.3827736842104</v>
      </c>
      <c r="R149" s="123"/>
    </row>
    <row r="150" spans="1:18" x14ac:dyDescent="0.35">
      <c r="A150" s="71" t="str">
        <f>IF(TRIM(G150)&lt;&gt;"",COUNTA(G$11:$G150)&amp;"","")</f>
        <v>86</v>
      </c>
      <c r="B150" s="304"/>
      <c r="C150" s="304"/>
      <c r="D150" s="34"/>
      <c r="E150" s="56" t="s">
        <v>516</v>
      </c>
      <c r="F150" s="73">
        <f>(F148*2)/16</f>
        <v>4.5437500000000002</v>
      </c>
      <c r="G150" s="74" t="s">
        <v>192</v>
      </c>
      <c r="H150" s="22">
        <v>0.05</v>
      </c>
      <c r="I150" s="51">
        <f t="shared" si="210"/>
        <v>4.7709375000000005</v>
      </c>
      <c r="J150" s="23">
        <f>0.78*16</f>
        <v>12.48</v>
      </c>
      <c r="K150" s="24">
        <f t="shared" si="211"/>
        <v>59.541300000000007</v>
      </c>
      <c r="L150" s="25">
        <f t="shared" si="212"/>
        <v>78</v>
      </c>
      <c r="M150" s="26">
        <f>0.0543*16</f>
        <v>0.86880000000000002</v>
      </c>
      <c r="N150" s="26">
        <f t="shared" si="213"/>
        <v>4.1449905000000005</v>
      </c>
      <c r="O150" s="24">
        <f t="shared" si="214"/>
        <v>323.30925900000005</v>
      </c>
      <c r="P150" s="27">
        <f t="shared" si="215"/>
        <v>80.246400000000008</v>
      </c>
      <c r="Q150" s="24">
        <f t="shared" si="216"/>
        <v>382.85055900000009</v>
      </c>
      <c r="R150" s="123"/>
    </row>
    <row r="151" spans="1:18" x14ac:dyDescent="0.35">
      <c r="A151" s="71" t="str">
        <f>IF(TRIM(G151)&lt;&gt;"",COUNTA(G$11:$G151)&amp;"","")</f>
        <v>87</v>
      </c>
      <c r="B151" s="304"/>
      <c r="C151" s="304"/>
      <c r="D151" s="34"/>
      <c r="E151" s="56" t="s">
        <v>516</v>
      </c>
      <c r="F151" s="73">
        <f>F148/16</f>
        <v>2.2718750000000001</v>
      </c>
      <c r="G151" s="74" t="s">
        <v>192</v>
      </c>
      <c r="H151" s="22">
        <v>0.05</v>
      </c>
      <c r="I151" s="51">
        <f t="shared" si="210"/>
        <v>2.3854687500000002</v>
      </c>
      <c r="J151" s="23">
        <f>0.78*16</f>
        <v>12.48</v>
      </c>
      <c r="K151" s="24">
        <f t="shared" si="211"/>
        <v>29.770650000000003</v>
      </c>
      <c r="L151" s="25">
        <f t="shared" si="212"/>
        <v>78</v>
      </c>
      <c r="M151" s="26">
        <f>0.0543*16</f>
        <v>0.86880000000000002</v>
      </c>
      <c r="N151" s="26">
        <f t="shared" si="213"/>
        <v>2.0724952500000002</v>
      </c>
      <c r="O151" s="24">
        <f t="shared" si="214"/>
        <v>161.65462950000003</v>
      </c>
      <c r="P151" s="27">
        <f t="shared" si="215"/>
        <v>80.246400000000008</v>
      </c>
      <c r="Q151" s="24">
        <f t="shared" si="216"/>
        <v>191.42527950000004</v>
      </c>
      <c r="R151" s="123"/>
    </row>
    <row r="152" spans="1:18" x14ac:dyDescent="0.35">
      <c r="A152" s="71" t="str">
        <f>IF(TRIM(G152)&lt;&gt;"",COUNTA(G$11:$G152)&amp;"","")</f>
        <v/>
      </c>
      <c r="B152" s="304"/>
      <c r="C152" s="304"/>
      <c r="D152" s="34"/>
      <c r="E152" s="56"/>
      <c r="F152" s="73"/>
      <c r="G152" s="74"/>
      <c r="H152" s="22"/>
      <c r="I152" s="51"/>
      <c r="J152" s="23"/>
      <c r="K152" s="24"/>
      <c r="L152" s="25"/>
      <c r="M152" s="26"/>
      <c r="N152" s="26"/>
      <c r="O152" s="24"/>
      <c r="P152" s="27"/>
      <c r="Q152" s="24"/>
      <c r="R152" s="123"/>
    </row>
    <row r="153" spans="1:18" x14ac:dyDescent="0.35">
      <c r="A153" s="71" t="str">
        <f>IF(TRIM(G153)&lt;&gt;"",COUNTA(G$11:$G153)&amp;"","")</f>
        <v>88</v>
      </c>
      <c r="B153" s="304"/>
      <c r="C153" s="304"/>
      <c r="D153" s="34"/>
      <c r="E153" s="259" t="s">
        <v>519</v>
      </c>
      <c r="F153" s="255">
        <v>439.47</v>
      </c>
      <c r="G153" s="260" t="s">
        <v>154</v>
      </c>
      <c r="H153" s="22"/>
      <c r="I153" s="51"/>
      <c r="J153" s="23"/>
      <c r="K153" s="24"/>
      <c r="L153" s="25"/>
      <c r="M153" s="26"/>
      <c r="N153" s="26"/>
      <c r="O153" s="24"/>
      <c r="P153" s="27"/>
      <c r="Q153" s="24"/>
      <c r="R153" s="123"/>
    </row>
    <row r="154" spans="1:18" x14ac:dyDescent="0.35">
      <c r="A154" s="71" t="str">
        <f>IF(TRIM(G154)&lt;&gt;"",COUNTA(G$11:$G154)&amp;"","")</f>
        <v>89</v>
      </c>
      <c r="B154" s="304"/>
      <c r="C154" s="304"/>
      <c r="D154" s="34"/>
      <c r="E154" s="56" t="s">
        <v>521</v>
      </c>
      <c r="F154" s="73">
        <f>F153/1.33</f>
        <v>330.42857142857144</v>
      </c>
      <c r="G154" s="74" t="s">
        <v>192</v>
      </c>
      <c r="H154" s="22">
        <v>0.05</v>
      </c>
      <c r="I154" s="51">
        <f t="shared" ref="I154:I156" si="217">IF(F154=0,"",F154+(F154*H154))</f>
        <v>346.95000000000005</v>
      </c>
      <c r="J154" s="23">
        <f>0.48*(104/12)</f>
        <v>4.1599999999999993</v>
      </c>
      <c r="K154" s="24">
        <f t="shared" ref="K154:K156" si="218">IF(F154=0,"",J154*I154)</f>
        <v>1443.3119999999999</v>
      </c>
      <c r="L154" s="25">
        <f t="shared" ref="L154:L156" si="219">$L$44</f>
        <v>78</v>
      </c>
      <c r="M154" s="26">
        <f>0.0475*(104/12)</f>
        <v>0.41166666666666663</v>
      </c>
      <c r="N154" s="26">
        <f t="shared" ref="N154:N156" si="220">IF(F154=0,"",M154*I154)</f>
        <v>142.82775000000001</v>
      </c>
      <c r="O154" s="24">
        <f t="shared" ref="O154:O156" si="221">IF(F154=0,"",N154*L154)</f>
        <v>11140.5645</v>
      </c>
      <c r="P154" s="27">
        <f t="shared" ref="P154:P156" si="222">IF(F154=0,"",(K154+O154)/I154)</f>
        <v>36.269999999999996</v>
      </c>
      <c r="Q154" s="24">
        <f t="shared" ref="Q154:Q156" si="223">IF(F154=0,"",(P154*I154))</f>
        <v>12583.8765</v>
      </c>
      <c r="R154" s="123"/>
    </row>
    <row r="155" spans="1:18" x14ac:dyDescent="0.35">
      <c r="A155" s="71" t="str">
        <f>IF(TRIM(G155)&lt;&gt;"",COUNTA(G$11:$G155)&amp;"","")</f>
        <v>90</v>
      </c>
      <c r="B155" s="304"/>
      <c r="C155" s="304"/>
      <c r="D155" s="34"/>
      <c r="E155" s="56" t="s">
        <v>522</v>
      </c>
      <c r="F155" s="73">
        <f>(F153*2)/16</f>
        <v>54.933750000000003</v>
      </c>
      <c r="G155" s="74" t="s">
        <v>192</v>
      </c>
      <c r="H155" s="22">
        <v>0.05</v>
      </c>
      <c r="I155" s="51">
        <f t="shared" si="217"/>
        <v>57.680437500000004</v>
      </c>
      <c r="J155" s="23">
        <f>0.48*16</f>
        <v>7.68</v>
      </c>
      <c r="K155" s="24">
        <f t="shared" si="218"/>
        <v>442.98576000000003</v>
      </c>
      <c r="L155" s="25">
        <f t="shared" si="219"/>
        <v>78</v>
      </c>
      <c r="M155" s="26">
        <f>0.0475*16</f>
        <v>0.76</v>
      </c>
      <c r="N155" s="26">
        <f t="shared" si="220"/>
        <v>43.837132500000003</v>
      </c>
      <c r="O155" s="24">
        <f t="shared" si="221"/>
        <v>3419.296335</v>
      </c>
      <c r="P155" s="27">
        <f t="shared" si="222"/>
        <v>66.959999999999994</v>
      </c>
      <c r="Q155" s="24">
        <f t="shared" si="223"/>
        <v>3862.282095</v>
      </c>
      <c r="R155" s="123"/>
    </row>
    <row r="156" spans="1:18" x14ac:dyDescent="0.35">
      <c r="A156" s="71" t="str">
        <f>IF(TRIM(G156)&lt;&gt;"",COUNTA(G$11:$G156)&amp;"","")</f>
        <v>91</v>
      </c>
      <c r="B156" s="304"/>
      <c r="C156" s="304"/>
      <c r="D156" s="34"/>
      <c r="E156" s="56" t="s">
        <v>522</v>
      </c>
      <c r="F156" s="73">
        <f>F153/16</f>
        <v>27.466875000000002</v>
      </c>
      <c r="G156" s="74" t="s">
        <v>192</v>
      </c>
      <c r="H156" s="22">
        <v>0.05</v>
      </c>
      <c r="I156" s="51">
        <f t="shared" si="217"/>
        <v>28.840218750000002</v>
      </c>
      <c r="J156" s="23">
        <f>0.48*16</f>
        <v>7.68</v>
      </c>
      <c r="K156" s="24">
        <f t="shared" si="218"/>
        <v>221.49288000000001</v>
      </c>
      <c r="L156" s="25">
        <f t="shared" si="219"/>
        <v>78</v>
      </c>
      <c r="M156" s="26">
        <f>0.0475*16</f>
        <v>0.76</v>
      </c>
      <c r="N156" s="26">
        <f t="shared" si="220"/>
        <v>21.918566250000001</v>
      </c>
      <c r="O156" s="24">
        <f t="shared" si="221"/>
        <v>1709.6481675</v>
      </c>
      <c r="P156" s="27">
        <f t="shared" si="222"/>
        <v>66.959999999999994</v>
      </c>
      <c r="Q156" s="24">
        <f t="shared" si="223"/>
        <v>1931.1410475</v>
      </c>
      <c r="R156" s="123"/>
    </row>
    <row r="157" spans="1:18" x14ac:dyDescent="0.35">
      <c r="A157" s="71" t="str">
        <f>IF(TRIM(G157)&lt;&gt;"",COUNTA(G$11:$G157)&amp;"","")</f>
        <v/>
      </c>
      <c r="B157" s="304"/>
      <c r="C157" s="304"/>
      <c r="D157" s="34"/>
      <c r="E157" s="56"/>
      <c r="F157" s="73"/>
      <c r="G157" s="74"/>
      <c r="H157" s="22"/>
      <c r="I157" s="51"/>
      <c r="J157" s="23"/>
      <c r="K157" s="24"/>
      <c r="L157" s="25"/>
      <c r="M157" s="26"/>
      <c r="N157" s="26"/>
      <c r="O157" s="24"/>
      <c r="P157" s="27"/>
      <c r="Q157" s="24"/>
      <c r="R157" s="123"/>
    </row>
    <row r="158" spans="1:18" x14ac:dyDescent="0.35">
      <c r="A158" s="71" t="str">
        <f>IF(TRIM(G158)&lt;&gt;"",COUNTA(G$11:$G158)&amp;"","")</f>
        <v/>
      </c>
      <c r="B158" s="304"/>
      <c r="C158" s="304"/>
      <c r="D158" s="34"/>
      <c r="E158" s="259" t="s">
        <v>525</v>
      </c>
      <c r="F158" s="73"/>
      <c r="G158" s="74"/>
      <c r="H158" s="22"/>
      <c r="I158" s="51"/>
      <c r="J158" s="23"/>
      <c r="K158" s="24"/>
      <c r="L158" s="25"/>
      <c r="M158" s="26"/>
      <c r="N158" s="26"/>
      <c r="O158" s="24"/>
      <c r="P158" s="27"/>
      <c r="Q158" s="24"/>
      <c r="R158" s="123"/>
    </row>
    <row r="159" spans="1:18" x14ac:dyDescent="0.35">
      <c r="A159" s="71" t="str">
        <f>IF(TRIM(G159)&lt;&gt;"",COUNTA(G$11:$G159)&amp;"","")</f>
        <v>92</v>
      </c>
      <c r="B159" s="304"/>
      <c r="C159" s="304"/>
      <c r="D159" s="34"/>
      <c r="E159" s="56" t="s">
        <v>517</v>
      </c>
      <c r="F159" s="73">
        <v>145</v>
      </c>
      <c r="G159" s="74" t="s">
        <v>192</v>
      </c>
      <c r="H159" s="22">
        <v>0.05</v>
      </c>
      <c r="I159" s="51">
        <f t="shared" ref="I159:I162" si="224">IF(F159=0,"",F159+(F159*H159))</f>
        <v>152.25</v>
      </c>
      <c r="J159" s="23">
        <f>0.78*(104/12)</f>
        <v>6.76</v>
      </c>
      <c r="K159" s="24">
        <f t="shared" ref="K159:K162" si="225">IF(F159=0,"",J159*I159)</f>
        <v>1029.21</v>
      </c>
      <c r="L159" s="25">
        <f>$L$44</f>
        <v>78</v>
      </c>
      <c r="M159" s="26">
        <f>0.0543*(104/12)</f>
        <v>0.47059999999999996</v>
      </c>
      <c r="N159" s="26">
        <f t="shared" ref="N159:N162" si="226">IF(F159=0,"",M159*I159)</f>
        <v>71.648849999999996</v>
      </c>
      <c r="O159" s="24">
        <f t="shared" ref="O159:O162" si="227">IF(F159=0,"",N159*L159)</f>
        <v>5588.6102999999994</v>
      </c>
      <c r="P159" s="27">
        <f t="shared" ref="P159:P162" si="228">IF(F159=0,"",(K159+O159)/I159)</f>
        <v>43.466799999999999</v>
      </c>
      <c r="Q159" s="24">
        <f t="shared" ref="Q159:Q162" si="229">IF(F159=0,"",(P159*I159))</f>
        <v>6617.8203000000003</v>
      </c>
      <c r="R159" s="123"/>
    </row>
    <row r="160" spans="1:18" x14ac:dyDescent="0.35">
      <c r="A160" s="71" t="str">
        <f>IF(TRIM(G160)&lt;&gt;"",COUNTA(G$11:$G160)&amp;"","")</f>
        <v>93</v>
      </c>
      <c r="B160" s="304"/>
      <c r="C160" s="304"/>
      <c r="D160" s="34"/>
      <c r="E160" s="56" t="s">
        <v>526</v>
      </c>
      <c r="F160" s="73">
        <v>38</v>
      </c>
      <c r="G160" s="74" t="s">
        <v>192</v>
      </c>
      <c r="H160" s="22">
        <v>0.05</v>
      </c>
      <c r="I160" s="51">
        <f t="shared" si="224"/>
        <v>39.9</v>
      </c>
      <c r="J160" s="23">
        <f>0.78*(92/12)</f>
        <v>5.98</v>
      </c>
      <c r="K160" s="24">
        <f t="shared" si="225"/>
        <v>238.602</v>
      </c>
      <c r="L160" s="25">
        <f>$L$44</f>
        <v>78</v>
      </c>
      <c r="M160" s="26">
        <f>0.0543*(92/12)</f>
        <v>0.4163</v>
      </c>
      <c r="N160" s="26">
        <f t="shared" si="226"/>
        <v>16.61037</v>
      </c>
      <c r="O160" s="24">
        <f t="shared" si="227"/>
        <v>1295.60886</v>
      </c>
      <c r="P160" s="27">
        <f t="shared" si="228"/>
        <v>38.451400000000007</v>
      </c>
      <c r="Q160" s="24">
        <f t="shared" si="229"/>
        <v>1534.2108600000001</v>
      </c>
      <c r="R160" s="123"/>
    </row>
    <row r="161" spans="1:18" x14ac:dyDescent="0.35">
      <c r="A161" s="71" t="str">
        <f>IF(TRIM(G161)&lt;&gt;"",COUNTA(G$11:$G161)&amp;"","")</f>
        <v>94</v>
      </c>
      <c r="B161" s="304"/>
      <c r="C161" s="304"/>
      <c r="D161" s="34"/>
      <c r="E161" s="56" t="s">
        <v>521</v>
      </c>
      <c r="F161" s="73">
        <v>165</v>
      </c>
      <c r="G161" s="74" t="s">
        <v>192</v>
      </c>
      <c r="H161" s="22">
        <v>0.05</v>
      </c>
      <c r="I161" s="51">
        <f t="shared" si="224"/>
        <v>173.25</v>
      </c>
      <c r="J161" s="23">
        <f>0.48*(104/12)</f>
        <v>4.1599999999999993</v>
      </c>
      <c r="K161" s="24">
        <f t="shared" si="225"/>
        <v>720.71999999999991</v>
      </c>
      <c r="L161" s="25">
        <f>$L$44</f>
        <v>78</v>
      </c>
      <c r="M161" s="26">
        <f>0.0475*(104/12)</f>
        <v>0.41166666666666663</v>
      </c>
      <c r="N161" s="26">
        <f t="shared" si="226"/>
        <v>71.321249999999992</v>
      </c>
      <c r="O161" s="24">
        <f t="shared" si="227"/>
        <v>5563.057499999999</v>
      </c>
      <c r="P161" s="27">
        <f t="shared" si="228"/>
        <v>36.269999999999996</v>
      </c>
      <c r="Q161" s="24">
        <f t="shared" si="229"/>
        <v>6283.7774999999992</v>
      </c>
      <c r="R161" s="123"/>
    </row>
    <row r="162" spans="1:18" x14ac:dyDescent="0.35">
      <c r="A162" s="71" t="str">
        <f>IF(TRIM(G162)&lt;&gt;"",COUNTA(G$11:$G162)&amp;"","")</f>
        <v>95</v>
      </c>
      <c r="B162" s="304"/>
      <c r="C162" s="304"/>
      <c r="D162" s="34"/>
      <c r="E162" s="56" t="s">
        <v>524</v>
      </c>
      <c r="F162" s="73">
        <v>60</v>
      </c>
      <c r="G162" s="74" t="s">
        <v>192</v>
      </c>
      <c r="H162" s="22">
        <v>0.05</v>
      </c>
      <c r="I162" s="51">
        <f t="shared" si="224"/>
        <v>63</v>
      </c>
      <c r="J162" s="23">
        <f>0.48*(92/12)</f>
        <v>3.68</v>
      </c>
      <c r="K162" s="24">
        <f t="shared" si="225"/>
        <v>231.84</v>
      </c>
      <c r="L162" s="25">
        <f>$L$44</f>
        <v>78</v>
      </c>
      <c r="M162" s="26">
        <f>0.0475*(92/12)</f>
        <v>0.36416666666666669</v>
      </c>
      <c r="N162" s="26">
        <f t="shared" si="226"/>
        <v>22.942500000000003</v>
      </c>
      <c r="O162" s="24">
        <f t="shared" si="227"/>
        <v>1789.5150000000001</v>
      </c>
      <c r="P162" s="27">
        <f t="shared" si="228"/>
        <v>32.085000000000001</v>
      </c>
      <c r="Q162" s="24">
        <f t="shared" si="229"/>
        <v>2021.355</v>
      </c>
      <c r="R162" s="123"/>
    </row>
    <row r="163" spans="1:18" x14ac:dyDescent="0.35">
      <c r="A163" s="71" t="str">
        <f>IF(TRIM(G163)&lt;&gt;"",COUNTA(G$11:$G163)&amp;"","")</f>
        <v/>
      </c>
      <c r="B163" s="304"/>
      <c r="C163" s="304"/>
      <c r="D163" s="34"/>
      <c r="E163" s="56"/>
      <c r="F163" s="73"/>
      <c r="G163" s="74"/>
      <c r="H163" s="22"/>
      <c r="I163" s="51"/>
      <c r="J163" s="23"/>
      <c r="K163" s="24"/>
      <c r="L163" s="25"/>
      <c r="M163" s="26"/>
      <c r="N163" s="26"/>
      <c r="O163" s="24"/>
      <c r="P163" s="27"/>
      <c r="Q163" s="24"/>
      <c r="R163" s="123"/>
    </row>
    <row r="164" spans="1:18" x14ac:dyDescent="0.35">
      <c r="A164" s="71" t="str">
        <f>IF(TRIM(G164)&lt;&gt;"",COUNTA(G$11:$G164)&amp;"","")</f>
        <v/>
      </c>
      <c r="B164" s="304"/>
      <c r="C164" s="304"/>
      <c r="D164" s="34"/>
      <c r="E164" s="259" t="s">
        <v>528</v>
      </c>
      <c r="F164" s="73"/>
      <c r="G164" s="74"/>
      <c r="H164" s="22"/>
      <c r="I164" s="51"/>
      <c r="J164" s="23"/>
      <c r="K164" s="24"/>
      <c r="L164" s="25"/>
      <c r="M164" s="26"/>
      <c r="N164" s="26"/>
      <c r="O164" s="24"/>
      <c r="P164" s="27"/>
      <c r="Q164" s="24"/>
      <c r="R164" s="123"/>
    </row>
    <row r="165" spans="1:18" x14ac:dyDescent="0.35">
      <c r="A165" s="71" t="str">
        <f>IF(TRIM(G165)&lt;&gt;"",COUNTA(G$11:$G165)&amp;"","")</f>
        <v>96</v>
      </c>
      <c r="B165" s="304"/>
      <c r="C165" s="304"/>
      <c r="D165" s="34"/>
      <c r="E165" s="56" t="s">
        <v>553</v>
      </c>
      <c r="F165" s="73">
        <v>10</v>
      </c>
      <c r="G165" s="74" t="s">
        <v>192</v>
      </c>
      <c r="H165" s="22">
        <v>0</v>
      </c>
      <c r="I165" s="51">
        <f t="shared" ref="I165:I169" si="230">IF(F165=0,"",F165+(F165*H165))</f>
        <v>10</v>
      </c>
      <c r="J165" s="23">
        <f>11.78*8</f>
        <v>94.24</v>
      </c>
      <c r="K165" s="24">
        <f t="shared" ref="K165" si="231">IF(F165=0,"",J165*I165)</f>
        <v>942.4</v>
      </c>
      <c r="L165" s="25">
        <f t="shared" ref="L165" si="232">$L$44</f>
        <v>78</v>
      </c>
      <c r="M165" s="26">
        <v>1.0366399999999998</v>
      </c>
      <c r="N165" s="26">
        <f t="shared" ref="N165:N169" si="233">IF(F165=0,"",M165*I165)</f>
        <v>10.366399999999999</v>
      </c>
      <c r="O165" s="24">
        <f t="shared" ref="O165:O169" si="234">IF(F165=0,"",N165*L165)</f>
        <v>808.5791999999999</v>
      </c>
      <c r="P165" s="27">
        <f t="shared" ref="P165:P169" si="235">IF(F165=0,"",(K165+O165)/I165)</f>
        <v>175.09791999999999</v>
      </c>
      <c r="Q165" s="24">
        <f t="shared" ref="Q165:Q169" si="236">IF(F165=0,"",(P165*I165))</f>
        <v>1750.9791999999998</v>
      </c>
      <c r="R165" s="123"/>
    </row>
    <row r="166" spans="1:18" x14ac:dyDescent="0.35">
      <c r="A166" s="71" t="str">
        <f>IF(TRIM(G166)&lt;&gt;"",COUNTA(G$11:$G166)&amp;"","")</f>
        <v>97</v>
      </c>
      <c r="B166" s="304"/>
      <c r="C166" s="304"/>
      <c r="D166" s="34"/>
      <c r="E166" s="56" t="s">
        <v>548</v>
      </c>
      <c r="F166" s="73">
        <v>30</v>
      </c>
      <c r="G166" s="74" t="s">
        <v>192</v>
      </c>
      <c r="H166" s="22">
        <v>0</v>
      </c>
      <c r="I166" s="51">
        <f t="shared" si="230"/>
        <v>30</v>
      </c>
      <c r="J166" s="23">
        <f>11.78*10</f>
        <v>117.8</v>
      </c>
      <c r="K166" s="24">
        <f t="shared" ref="K166:K169" si="237">IF(F166=0,"",J166*I166)</f>
        <v>3534</v>
      </c>
      <c r="L166" s="25">
        <f t="shared" ref="L166:L169" si="238">$L$44</f>
        <v>78</v>
      </c>
      <c r="M166" s="26">
        <v>1.2957999999999998</v>
      </c>
      <c r="N166" s="26">
        <f t="shared" si="233"/>
        <v>38.873999999999995</v>
      </c>
      <c r="O166" s="24">
        <f t="shared" si="234"/>
        <v>3032.1719999999996</v>
      </c>
      <c r="P166" s="27">
        <f t="shared" si="235"/>
        <v>218.8724</v>
      </c>
      <c r="Q166" s="24">
        <f t="shared" si="236"/>
        <v>6566.1719999999996</v>
      </c>
      <c r="R166" s="123"/>
    </row>
    <row r="167" spans="1:18" x14ac:dyDescent="0.35">
      <c r="A167" s="71" t="str">
        <f>IF(TRIM(G167)&lt;&gt;"",COUNTA(G$11:$G167)&amp;"","")</f>
        <v>98</v>
      </c>
      <c r="B167" s="304"/>
      <c r="C167" s="304"/>
      <c r="D167" s="34"/>
      <c r="E167" s="56" t="s">
        <v>572</v>
      </c>
      <c r="F167" s="73">
        <v>10</v>
      </c>
      <c r="G167" s="74" t="s">
        <v>192</v>
      </c>
      <c r="H167" s="22">
        <v>0</v>
      </c>
      <c r="I167" s="51">
        <f t="shared" si="230"/>
        <v>10</v>
      </c>
      <c r="J167" s="23">
        <f>11.78*14</f>
        <v>164.92</v>
      </c>
      <c r="K167" s="24">
        <f t="shared" si="237"/>
        <v>1649.1999999999998</v>
      </c>
      <c r="L167" s="25">
        <f t="shared" si="238"/>
        <v>78</v>
      </c>
      <c r="M167" s="26">
        <v>1.8141199999999997</v>
      </c>
      <c r="N167" s="26">
        <f t="shared" si="233"/>
        <v>18.141199999999998</v>
      </c>
      <c r="O167" s="24">
        <f t="shared" si="234"/>
        <v>1415.0135999999998</v>
      </c>
      <c r="P167" s="27">
        <f t="shared" si="235"/>
        <v>306.42135999999994</v>
      </c>
      <c r="Q167" s="24">
        <f t="shared" si="236"/>
        <v>3064.2135999999991</v>
      </c>
      <c r="R167" s="123"/>
    </row>
    <row r="168" spans="1:18" x14ac:dyDescent="0.35">
      <c r="A168" s="71" t="str">
        <f>IF(TRIM(G168)&lt;&gt;"",COUNTA(G$11:$G168)&amp;"","")</f>
        <v>99</v>
      </c>
      <c r="B168" s="304"/>
      <c r="C168" s="304"/>
      <c r="D168" s="34"/>
      <c r="E168" s="56" t="s">
        <v>551</v>
      </c>
      <c r="F168" s="73">
        <v>8</v>
      </c>
      <c r="G168" s="74" t="s">
        <v>192</v>
      </c>
      <c r="H168" s="22">
        <v>0</v>
      </c>
      <c r="I168" s="51">
        <f t="shared" si="230"/>
        <v>8</v>
      </c>
      <c r="J168" s="23">
        <f>11.78*16</f>
        <v>188.48</v>
      </c>
      <c r="K168" s="24">
        <f t="shared" si="237"/>
        <v>1507.84</v>
      </c>
      <c r="L168" s="25">
        <f t="shared" si="238"/>
        <v>78</v>
      </c>
      <c r="M168" s="26">
        <v>2.0732799999999996</v>
      </c>
      <c r="N168" s="26">
        <f t="shared" si="233"/>
        <v>16.586239999999997</v>
      </c>
      <c r="O168" s="24">
        <f t="shared" si="234"/>
        <v>1293.7267199999997</v>
      </c>
      <c r="P168" s="27">
        <f t="shared" si="235"/>
        <v>350.19583999999998</v>
      </c>
      <c r="Q168" s="24">
        <f t="shared" si="236"/>
        <v>2801.5667199999998</v>
      </c>
      <c r="R168" s="123"/>
    </row>
    <row r="169" spans="1:18" x14ac:dyDescent="0.35">
      <c r="A169" s="71" t="str">
        <f>IF(TRIM(G169)&lt;&gt;"",COUNTA(G$11:$G169)&amp;"","")</f>
        <v>100</v>
      </c>
      <c r="B169" s="304"/>
      <c r="C169" s="304"/>
      <c r="D169" s="34"/>
      <c r="E169" s="56" t="s">
        <v>550</v>
      </c>
      <c r="F169" s="73">
        <v>4</v>
      </c>
      <c r="G169" s="74" t="s">
        <v>192</v>
      </c>
      <c r="H169" s="22">
        <v>0</v>
      </c>
      <c r="I169" s="51">
        <f t="shared" si="230"/>
        <v>4</v>
      </c>
      <c r="J169" s="23">
        <f>11.78*18</f>
        <v>212.04</v>
      </c>
      <c r="K169" s="24">
        <f t="shared" si="237"/>
        <v>848.16</v>
      </c>
      <c r="L169" s="25">
        <f t="shared" si="238"/>
        <v>78</v>
      </c>
      <c r="M169" s="26">
        <v>2.3324399999999996</v>
      </c>
      <c r="N169" s="26">
        <f t="shared" si="233"/>
        <v>9.3297599999999985</v>
      </c>
      <c r="O169" s="24">
        <f t="shared" si="234"/>
        <v>727.72127999999987</v>
      </c>
      <c r="P169" s="27">
        <f t="shared" si="235"/>
        <v>393.97031999999996</v>
      </c>
      <c r="Q169" s="24">
        <f t="shared" si="236"/>
        <v>1575.8812799999998</v>
      </c>
      <c r="R169" s="123"/>
    </row>
    <row r="170" spans="1:18" x14ac:dyDescent="0.35">
      <c r="A170" s="71" t="str">
        <f>IF(TRIM(G170)&lt;&gt;"",COUNTA(G$11:$G170)&amp;"","")</f>
        <v/>
      </c>
      <c r="B170" s="304"/>
      <c r="C170" s="304"/>
      <c r="D170" s="34"/>
      <c r="E170" s="56"/>
      <c r="F170" s="73"/>
      <c r="G170" s="74"/>
      <c r="H170" s="22"/>
      <c r="I170" s="51"/>
      <c r="J170" s="23"/>
      <c r="K170" s="24"/>
      <c r="L170" s="25"/>
      <c r="M170" s="26"/>
      <c r="N170" s="26"/>
      <c r="O170" s="24"/>
      <c r="P170" s="27"/>
      <c r="Q170" s="24"/>
      <c r="R170" s="123"/>
    </row>
    <row r="171" spans="1:18" x14ac:dyDescent="0.35">
      <c r="A171" s="71" t="str">
        <f>IF(TRIM(G171)&lt;&gt;"",COUNTA(G$11:$G171)&amp;"","")</f>
        <v/>
      </c>
      <c r="B171" s="304"/>
      <c r="C171" s="304"/>
      <c r="D171" s="34"/>
      <c r="E171" s="259" t="s">
        <v>531</v>
      </c>
      <c r="F171" s="73"/>
      <c r="G171" s="74"/>
      <c r="H171" s="22"/>
      <c r="I171" s="51"/>
      <c r="J171" s="23"/>
      <c r="K171" s="24"/>
      <c r="L171" s="25"/>
      <c r="M171" s="26"/>
      <c r="N171" s="26"/>
      <c r="O171" s="24"/>
      <c r="P171" s="27"/>
      <c r="Q171" s="24"/>
      <c r="R171" s="123"/>
    </row>
    <row r="172" spans="1:18" x14ac:dyDescent="0.35">
      <c r="A172" s="71" t="str">
        <f>IF(TRIM(G172)&lt;&gt;"",COUNTA(G$11:$G172)&amp;"","")</f>
        <v>101</v>
      </c>
      <c r="B172" s="304"/>
      <c r="C172" s="304"/>
      <c r="D172" s="34"/>
      <c r="E172" s="56" t="s">
        <v>532</v>
      </c>
      <c r="F172" s="73">
        <f>15+25</f>
        <v>40</v>
      </c>
      <c r="G172" s="74" t="s">
        <v>192</v>
      </c>
      <c r="H172" s="22">
        <v>0</v>
      </c>
      <c r="I172" s="51">
        <f t="shared" ref="I172:I174" si="239">IF(F172=0,"",F172+(F172*H172))</f>
        <v>40</v>
      </c>
      <c r="J172" s="23">
        <f>1.87*8</f>
        <v>14.96</v>
      </c>
      <c r="K172" s="24">
        <f t="shared" ref="K172:K174" si="240">IF(F172=0,"",J172*I172)</f>
        <v>598.40000000000009</v>
      </c>
      <c r="L172" s="25">
        <f t="shared" ref="L172:L174" si="241">$L$44</f>
        <v>78</v>
      </c>
      <c r="M172" s="26">
        <f>0.061*8</f>
        <v>0.48799999999999999</v>
      </c>
      <c r="N172" s="26">
        <f t="shared" ref="N172:N174" si="242">IF(F172=0,"",M172*I172)</f>
        <v>19.52</v>
      </c>
      <c r="O172" s="24">
        <f t="shared" ref="O172:O174" si="243">IF(F172=0,"",N172*L172)</f>
        <v>1522.56</v>
      </c>
      <c r="P172" s="27">
        <f t="shared" ref="P172:P174" si="244">IF(F172=0,"",(K172+O172)/I172)</f>
        <v>53.024000000000001</v>
      </c>
      <c r="Q172" s="24">
        <f t="shared" ref="Q172:Q174" si="245">IF(F172=0,"",(P172*I172))</f>
        <v>2120.96</v>
      </c>
      <c r="R172" s="123"/>
    </row>
    <row r="173" spans="1:18" x14ac:dyDescent="0.35">
      <c r="A173" s="71" t="str">
        <f>IF(TRIM(G173)&lt;&gt;"",COUNTA(G$11:$G173)&amp;"","")</f>
        <v>102</v>
      </c>
      <c r="B173" s="304"/>
      <c r="C173" s="304"/>
      <c r="D173" s="34"/>
      <c r="E173" s="56" t="s">
        <v>556</v>
      </c>
      <c r="F173" s="73">
        <v>2</v>
      </c>
      <c r="G173" s="74" t="s">
        <v>192</v>
      </c>
      <c r="H173" s="22">
        <v>0</v>
      </c>
      <c r="I173" s="51">
        <f t="shared" si="239"/>
        <v>2</v>
      </c>
      <c r="J173" s="23">
        <f>1.87*10</f>
        <v>18.700000000000003</v>
      </c>
      <c r="K173" s="24">
        <f t="shared" si="240"/>
        <v>37.400000000000006</v>
      </c>
      <c r="L173" s="25">
        <f t="shared" si="241"/>
        <v>78</v>
      </c>
      <c r="M173" s="26">
        <f>0.061*10</f>
        <v>0.61</v>
      </c>
      <c r="N173" s="26">
        <f t="shared" si="242"/>
        <v>1.22</v>
      </c>
      <c r="O173" s="24">
        <f t="shared" si="243"/>
        <v>95.16</v>
      </c>
      <c r="P173" s="27">
        <f t="shared" si="244"/>
        <v>66.28</v>
      </c>
      <c r="Q173" s="24">
        <f t="shared" si="245"/>
        <v>132.56</v>
      </c>
      <c r="R173" s="123"/>
    </row>
    <row r="174" spans="1:18" x14ac:dyDescent="0.35">
      <c r="A174" s="71" t="str">
        <f>IF(TRIM(G174)&lt;&gt;"",COUNTA(G$11:$G174)&amp;"","")</f>
        <v>103</v>
      </c>
      <c r="B174" s="304"/>
      <c r="C174" s="304"/>
      <c r="D174" s="34"/>
      <c r="E174" s="56" t="s">
        <v>573</v>
      </c>
      <c r="F174" s="73">
        <v>1</v>
      </c>
      <c r="G174" s="74" t="s">
        <v>192</v>
      </c>
      <c r="H174" s="22">
        <v>0</v>
      </c>
      <c r="I174" s="51">
        <f t="shared" si="239"/>
        <v>1</v>
      </c>
      <c r="J174" s="23">
        <f>1.87*12</f>
        <v>22.44</v>
      </c>
      <c r="K174" s="24">
        <f t="shared" si="240"/>
        <v>22.44</v>
      </c>
      <c r="L174" s="25">
        <f t="shared" si="241"/>
        <v>78</v>
      </c>
      <c r="M174" s="26">
        <f>0.061*12</f>
        <v>0.73199999999999998</v>
      </c>
      <c r="N174" s="26">
        <f t="shared" si="242"/>
        <v>0.73199999999999998</v>
      </c>
      <c r="O174" s="24">
        <f t="shared" si="243"/>
        <v>57.095999999999997</v>
      </c>
      <c r="P174" s="27">
        <f t="shared" si="244"/>
        <v>79.536000000000001</v>
      </c>
      <c r="Q174" s="24">
        <f t="shared" si="245"/>
        <v>79.536000000000001</v>
      </c>
      <c r="R174" s="123"/>
    </row>
    <row r="175" spans="1:18" x14ac:dyDescent="0.35">
      <c r="A175" s="71" t="str">
        <f>IF(TRIM(G175)&lt;&gt;"",COUNTA(G$11:$G175)&amp;"","")</f>
        <v/>
      </c>
      <c r="B175" s="304"/>
      <c r="C175" s="304"/>
      <c r="D175" s="34"/>
      <c r="E175" s="56"/>
      <c r="F175" s="73"/>
      <c r="G175" s="74"/>
      <c r="H175" s="22"/>
      <c r="I175" s="51"/>
      <c r="J175" s="23"/>
      <c r="K175" s="24"/>
      <c r="L175" s="25"/>
      <c r="M175" s="26"/>
      <c r="N175" s="26"/>
      <c r="O175" s="24"/>
      <c r="P175" s="27"/>
      <c r="Q175" s="24"/>
      <c r="R175" s="123"/>
    </row>
    <row r="176" spans="1:18" x14ac:dyDescent="0.35">
      <c r="A176" s="71" t="str">
        <f>IF(TRIM(G176)&lt;&gt;"",COUNTA(G$11:$G176)&amp;"","")</f>
        <v>104</v>
      </c>
      <c r="B176" s="304"/>
      <c r="C176" s="304"/>
      <c r="D176" s="34"/>
      <c r="E176" s="56" t="s">
        <v>557</v>
      </c>
      <c r="F176" s="73">
        <v>4</v>
      </c>
      <c r="G176" s="74" t="s">
        <v>192</v>
      </c>
      <c r="H176" s="22">
        <v>0</v>
      </c>
      <c r="I176" s="51">
        <f t="shared" ref="I176" si="246">IF(F176=0,"",F176+(F176*H176))</f>
        <v>4</v>
      </c>
      <c r="J176" s="23">
        <f>1.25*12</f>
        <v>15</v>
      </c>
      <c r="K176" s="24">
        <f t="shared" ref="K176" si="247">IF(F176=0,"",J176*I176)</f>
        <v>60</v>
      </c>
      <c r="L176" s="25">
        <f t="shared" ref="L176" si="248">$L$44</f>
        <v>78</v>
      </c>
      <c r="M176" s="26">
        <f>0.0575*12</f>
        <v>0.69000000000000006</v>
      </c>
      <c r="N176" s="26">
        <f t="shared" ref="N176" si="249">IF(F176=0,"",M176*I176)</f>
        <v>2.7600000000000002</v>
      </c>
      <c r="O176" s="24">
        <f t="shared" ref="O176" si="250">IF(F176=0,"",N176*L176)</f>
        <v>215.28000000000003</v>
      </c>
      <c r="P176" s="27">
        <f t="shared" ref="P176" si="251">IF(F176=0,"",(K176+O176)/I176)</f>
        <v>68.820000000000007</v>
      </c>
      <c r="Q176" s="24">
        <f t="shared" ref="Q176" si="252">IF(F176=0,"",(P176*I176))</f>
        <v>275.28000000000003</v>
      </c>
      <c r="R176" s="123"/>
    </row>
    <row r="177" spans="1:18" x14ac:dyDescent="0.35">
      <c r="A177" s="71" t="str">
        <f>IF(TRIM(G177)&lt;&gt;"",COUNTA(G$11:$G177)&amp;"","")</f>
        <v/>
      </c>
      <c r="B177" s="304"/>
      <c r="C177" s="304"/>
      <c r="D177" s="34"/>
      <c r="E177" s="56"/>
      <c r="F177" s="73"/>
      <c r="G177" s="74"/>
      <c r="H177" s="22"/>
      <c r="I177" s="51"/>
      <c r="J177" s="23"/>
      <c r="K177" s="24"/>
      <c r="L177" s="25"/>
      <c r="M177" s="26"/>
      <c r="N177" s="26"/>
      <c r="O177" s="24"/>
      <c r="P177" s="27"/>
      <c r="Q177" s="24"/>
      <c r="R177" s="123"/>
    </row>
    <row r="178" spans="1:18" x14ac:dyDescent="0.35">
      <c r="A178" s="71" t="str">
        <f>IF(TRIM(G178)&lt;&gt;"",COUNTA(G$11:$G178)&amp;"","")</f>
        <v/>
      </c>
      <c r="B178" s="304"/>
      <c r="C178" s="304"/>
      <c r="D178" s="34"/>
      <c r="E178" s="259" t="s">
        <v>535</v>
      </c>
      <c r="F178" s="73"/>
      <c r="G178" s="74"/>
      <c r="H178" s="22"/>
      <c r="I178" s="51"/>
      <c r="J178" s="23"/>
      <c r="K178" s="24"/>
      <c r="L178" s="25"/>
      <c r="M178" s="26"/>
      <c r="N178" s="26"/>
      <c r="O178" s="24"/>
      <c r="P178" s="27"/>
      <c r="Q178" s="24"/>
      <c r="R178" s="123"/>
    </row>
    <row r="179" spans="1:18" x14ac:dyDescent="0.35">
      <c r="A179" s="71" t="str">
        <f>IF(TRIM(G179)&lt;&gt;"",COUNTA(G$11:$G179)&amp;"","")</f>
        <v>105</v>
      </c>
      <c r="B179" s="304"/>
      <c r="C179" s="304"/>
      <c r="D179" s="34"/>
      <c r="E179" s="56" t="s">
        <v>534</v>
      </c>
      <c r="F179" s="73">
        <v>18</v>
      </c>
      <c r="G179" s="74" t="s">
        <v>192</v>
      </c>
      <c r="H179" s="22">
        <v>0</v>
      </c>
      <c r="I179" s="51">
        <f t="shared" ref="I179" si="253">IF(F179=0,"",F179+(F179*H179))</f>
        <v>18</v>
      </c>
      <c r="J179" s="23">
        <f>(43.09/8)*10</f>
        <v>53.862500000000004</v>
      </c>
      <c r="K179" s="24">
        <f t="shared" ref="K179" si="254">IF(F179=0,"",J179*I179)</f>
        <v>969.52500000000009</v>
      </c>
      <c r="L179" s="25">
        <f t="shared" ref="L179" si="255">$L$44</f>
        <v>78</v>
      </c>
      <c r="M179" s="26">
        <f>0.013*J179</f>
        <v>0.70021250000000002</v>
      </c>
      <c r="N179" s="26">
        <f t="shared" ref="N179" si="256">IF(F179=0,"",M179*I179)</f>
        <v>12.603825000000001</v>
      </c>
      <c r="O179" s="24">
        <f t="shared" ref="O179" si="257">IF(F179=0,"",N179*L179)</f>
        <v>983.09834999999998</v>
      </c>
      <c r="P179" s="27">
        <f t="shared" ref="P179" si="258">IF(F179=0,"",(K179+O179)/I179)</f>
        <v>108.47907500000001</v>
      </c>
      <c r="Q179" s="24">
        <f t="shared" ref="Q179" si="259">IF(F179=0,"",(P179*I179))</f>
        <v>1952.6233500000001</v>
      </c>
      <c r="R179" s="123"/>
    </row>
    <row r="180" spans="1:18" x14ac:dyDescent="0.35">
      <c r="A180" s="71" t="str">
        <f>IF(TRIM(G180)&lt;&gt;"",COUNTA(G$11:$G180)&amp;"","")</f>
        <v/>
      </c>
      <c r="B180" s="304"/>
      <c r="C180" s="304"/>
      <c r="D180" s="34"/>
      <c r="E180" s="56"/>
      <c r="F180" s="73"/>
      <c r="G180" s="74"/>
      <c r="H180" s="22"/>
      <c r="I180" s="51"/>
      <c r="J180" s="23"/>
      <c r="K180" s="24"/>
      <c r="L180" s="25"/>
      <c r="M180" s="26"/>
      <c r="N180" s="26"/>
      <c r="O180" s="24"/>
      <c r="P180" s="27"/>
      <c r="Q180" s="24"/>
      <c r="R180" s="123"/>
    </row>
    <row r="181" spans="1:18" x14ac:dyDescent="0.35">
      <c r="A181" s="71" t="str">
        <f>IF(TRIM(G181)&lt;&gt;"",COUNTA(G$11:$G181)&amp;"","")</f>
        <v>106</v>
      </c>
      <c r="B181" s="304"/>
      <c r="C181" s="304"/>
      <c r="D181" s="34"/>
      <c r="E181" s="259" t="s">
        <v>574</v>
      </c>
      <c r="F181" s="255">
        <v>2151.2600000000002</v>
      </c>
      <c r="G181" s="260" t="s">
        <v>141</v>
      </c>
      <c r="H181" s="22"/>
      <c r="I181" s="51"/>
      <c r="J181" s="23"/>
      <c r="K181" s="24"/>
      <c r="L181" s="25"/>
      <c r="M181" s="26"/>
      <c r="N181" s="26"/>
      <c r="O181" s="24"/>
      <c r="P181" s="27"/>
      <c r="Q181" s="24"/>
      <c r="R181" s="123"/>
    </row>
    <row r="182" spans="1:18" x14ac:dyDescent="0.35">
      <c r="A182" s="71" t="str">
        <f>IF(TRIM(G182)&lt;&gt;"",COUNTA(G$11:$G182)&amp;"","")</f>
        <v>107</v>
      </c>
      <c r="B182" s="304"/>
      <c r="C182" s="304"/>
      <c r="D182" s="34"/>
      <c r="E182" s="56" t="s">
        <v>561</v>
      </c>
      <c r="F182" s="73">
        <f>19+16</f>
        <v>35</v>
      </c>
      <c r="G182" s="74" t="s">
        <v>192</v>
      </c>
      <c r="H182" s="22">
        <v>0</v>
      </c>
      <c r="I182" s="51">
        <f t="shared" ref="I182:I188" si="260">IF(F182=0,"",F182+(F182*H182))</f>
        <v>35</v>
      </c>
      <c r="J182" s="23">
        <f>4.18*8</f>
        <v>33.44</v>
      </c>
      <c r="K182" s="24">
        <f t="shared" ref="K182:K188" si="261">IF(F182=0,"",J182*I182)</f>
        <v>1170.3999999999999</v>
      </c>
      <c r="L182" s="25">
        <f t="shared" ref="L182:L188" si="262">$L$44</f>
        <v>78</v>
      </c>
      <c r="M182" s="26">
        <v>0.43471999999999994</v>
      </c>
      <c r="N182" s="26">
        <f t="shared" ref="N182:N188" si="263">IF(F182=0,"",M182*I182)</f>
        <v>15.215199999999998</v>
      </c>
      <c r="O182" s="24">
        <f t="shared" ref="O182:O188" si="264">IF(F182=0,"",N182*L182)</f>
        <v>1186.7855999999997</v>
      </c>
      <c r="P182" s="27">
        <f t="shared" ref="P182:P188" si="265">IF(F182=0,"",(K182+O182)/I182)</f>
        <v>67.348159999999993</v>
      </c>
      <c r="Q182" s="24">
        <f t="shared" ref="Q182:Q188" si="266">IF(F182=0,"",(P182*I182))</f>
        <v>2357.1855999999998</v>
      </c>
      <c r="R182" s="123"/>
    </row>
    <row r="183" spans="1:18" x14ac:dyDescent="0.35">
      <c r="A183" s="71" t="str">
        <f>IF(TRIM(G183)&lt;&gt;"",COUNTA(G$11:$G183)&amp;"","")</f>
        <v>108</v>
      </c>
      <c r="B183" s="304"/>
      <c r="C183" s="304"/>
      <c r="D183" s="34"/>
      <c r="E183" s="56" t="s">
        <v>562</v>
      </c>
      <c r="F183" s="73">
        <v>40</v>
      </c>
      <c r="G183" s="74" t="s">
        <v>192</v>
      </c>
      <c r="H183" s="22">
        <v>0</v>
      </c>
      <c r="I183" s="51">
        <f t="shared" si="260"/>
        <v>40</v>
      </c>
      <c r="J183" s="23">
        <f>4.18*10</f>
        <v>41.8</v>
      </c>
      <c r="K183" s="24">
        <f t="shared" si="261"/>
        <v>1672</v>
      </c>
      <c r="L183" s="25">
        <f t="shared" si="262"/>
        <v>78</v>
      </c>
      <c r="M183" s="26">
        <v>0.54339999999999988</v>
      </c>
      <c r="N183" s="26">
        <f t="shared" si="263"/>
        <v>21.735999999999997</v>
      </c>
      <c r="O183" s="24">
        <f t="shared" si="264"/>
        <v>1695.4079999999997</v>
      </c>
      <c r="P183" s="27">
        <f t="shared" si="265"/>
        <v>84.18519999999998</v>
      </c>
      <c r="Q183" s="24">
        <f t="shared" si="266"/>
        <v>3367.4079999999994</v>
      </c>
      <c r="R183" s="123"/>
    </row>
    <row r="184" spans="1:18" x14ac:dyDescent="0.35">
      <c r="A184" s="71" t="str">
        <f>IF(TRIM(G184)&lt;&gt;"",COUNTA(G$11:$G184)&amp;"","")</f>
        <v>109</v>
      </c>
      <c r="B184" s="304"/>
      <c r="C184" s="304"/>
      <c r="D184" s="34"/>
      <c r="E184" s="56" t="s">
        <v>563</v>
      </c>
      <c r="F184" s="73">
        <v>3</v>
      </c>
      <c r="G184" s="74" t="s">
        <v>192</v>
      </c>
      <c r="H184" s="22">
        <v>0</v>
      </c>
      <c r="I184" s="51">
        <f t="shared" si="260"/>
        <v>3</v>
      </c>
      <c r="J184" s="23">
        <f>4.18*12</f>
        <v>50.16</v>
      </c>
      <c r="K184" s="24">
        <f t="shared" si="261"/>
        <v>150.47999999999999</v>
      </c>
      <c r="L184" s="25">
        <f t="shared" si="262"/>
        <v>78</v>
      </c>
      <c r="M184" s="26">
        <v>0.65207999999999988</v>
      </c>
      <c r="N184" s="26">
        <f t="shared" si="263"/>
        <v>1.9562399999999998</v>
      </c>
      <c r="O184" s="24">
        <f t="shared" si="264"/>
        <v>152.58671999999999</v>
      </c>
      <c r="P184" s="27">
        <f t="shared" si="265"/>
        <v>101.02224</v>
      </c>
      <c r="Q184" s="24">
        <f t="shared" si="266"/>
        <v>303.06671999999998</v>
      </c>
      <c r="R184" s="123"/>
    </row>
    <row r="185" spans="1:18" x14ac:dyDescent="0.35">
      <c r="A185" s="71" t="str">
        <f>IF(TRIM(G185)&lt;&gt;"",COUNTA(G$11:$G185)&amp;"","")</f>
        <v>110</v>
      </c>
      <c r="B185" s="304"/>
      <c r="C185" s="304"/>
      <c r="D185" s="34"/>
      <c r="E185" s="56" t="s">
        <v>560</v>
      </c>
      <c r="F185" s="73">
        <v>33</v>
      </c>
      <c r="G185" s="74" t="s">
        <v>192</v>
      </c>
      <c r="H185" s="22">
        <v>0</v>
      </c>
      <c r="I185" s="51">
        <f t="shared" si="260"/>
        <v>33</v>
      </c>
      <c r="J185" s="23">
        <f>4.18*14</f>
        <v>58.519999999999996</v>
      </c>
      <c r="K185" s="24">
        <f t="shared" si="261"/>
        <v>1931.1599999999999</v>
      </c>
      <c r="L185" s="25">
        <f t="shared" si="262"/>
        <v>78</v>
      </c>
      <c r="M185" s="26">
        <v>0.76075999999999988</v>
      </c>
      <c r="N185" s="26">
        <f t="shared" si="263"/>
        <v>25.105079999999997</v>
      </c>
      <c r="O185" s="24">
        <f t="shared" si="264"/>
        <v>1958.1962399999998</v>
      </c>
      <c r="P185" s="27">
        <f t="shared" si="265"/>
        <v>117.85927999999998</v>
      </c>
      <c r="Q185" s="24">
        <f t="shared" si="266"/>
        <v>3889.3562399999996</v>
      </c>
      <c r="R185" s="123"/>
    </row>
    <row r="186" spans="1:18" x14ac:dyDescent="0.35">
      <c r="A186" s="71" t="str">
        <f>IF(TRIM(G186)&lt;&gt;"",COUNTA(G$11:$G186)&amp;"","")</f>
        <v>111</v>
      </c>
      <c r="B186" s="304"/>
      <c r="C186" s="304"/>
      <c r="D186" s="34"/>
      <c r="E186" s="56" t="s">
        <v>564</v>
      </c>
      <c r="F186" s="73">
        <v>4</v>
      </c>
      <c r="G186" s="74" t="s">
        <v>192</v>
      </c>
      <c r="H186" s="22">
        <v>0</v>
      </c>
      <c r="I186" s="51">
        <f t="shared" si="260"/>
        <v>4</v>
      </c>
      <c r="J186" s="23">
        <f>4.18*16</f>
        <v>66.88</v>
      </c>
      <c r="K186" s="24">
        <f t="shared" si="261"/>
        <v>267.52</v>
      </c>
      <c r="L186" s="25">
        <f t="shared" si="262"/>
        <v>78</v>
      </c>
      <c r="M186" s="26">
        <v>0.86943999999999988</v>
      </c>
      <c r="N186" s="26">
        <f t="shared" si="263"/>
        <v>3.4777599999999995</v>
      </c>
      <c r="O186" s="24">
        <f t="shared" si="264"/>
        <v>271.26527999999996</v>
      </c>
      <c r="P186" s="27">
        <f t="shared" si="265"/>
        <v>134.69631999999999</v>
      </c>
      <c r="Q186" s="24">
        <f t="shared" si="266"/>
        <v>538.78527999999994</v>
      </c>
      <c r="R186" s="123"/>
    </row>
    <row r="187" spans="1:18" x14ac:dyDescent="0.35">
      <c r="A187" s="71" t="str">
        <f>IF(TRIM(G187)&lt;&gt;"",COUNTA(G$11:$G187)&amp;"","")</f>
        <v>112</v>
      </c>
      <c r="B187" s="304"/>
      <c r="C187" s="304"/>
      <c r="D187" s="34"/>
      <c r="E187" s="56" t="s">
        <v>559</v>
      </c>
      <c r="F187" s="73">
        <v>26</v>
      </c>
      <c r="G187" s="74" t="s">
        <v>192</v>
      </c>
      <c r="H187" s="22">
        <v>0</v>
      </c>
      <c r="I187" s="51">
        <f t="shared" si="260"/>
        <v>26</v>
      </c>
      <c r="J187" s="23">
        <f>4.18*18</f>
        <v>75.239999999999995</v>
      </c>
      <c r="K187" s="24">
        <f t="shared" si="261"/>
        <v>1956.2399999999998</v>
      </c>
      <c r="L187" s="25">
        <f t="shared" si="262"/>
        <v>78</v>
      </c>
      <c r="M187" s="26">
        <v>0.97811999999999988</v>
      </c>
      <c r="N187" s="26">
        <f t="shared" si="263"/>
        <v>25.431119999999996</v>
      </c>
      <c r="O187" s="24">
        <f t="shared" si="264"/>
        <v>1983.6273599999997</v>
      </c>
      <c r="P187" s="27">
        <f t="shared" si="265"/>
        <v>151.53335999999996</v>
      </c>
      <c r="Q187" s="24">
        <f t="shared" si="266"/>
        <v>3939.8673599999988</v>
      </c>
      <c r="R187" s="123"/>
    </row>
    <row r="188" spans="1:18" x14ac:dyDescent="0.35">
      <c r="A188" s="71" t="str">
        <f>IF(TRIM(G188)&lt;&gt;"",COUNTA(G$11:$G188)&amp;"","")</f>
        <v>113</v>
      </c>
      <c r="B188" s="304"/>
      <c r="C188" s="304"/>
      <c r="D188" s="34"/>
      <c r="E188" s="56" t="s">
        <v>575</v>
      </c>
      <c r="F188" s="73">
        <v>4</v>
      </c>
      <c r="G188" s="74" t="s">
        <v>192</v>
      </c>
      <c r="H188" s="22">
        <v>0</v>
      </c>
      <c r="I188" s="51">
        <f t="shared" si="260"/>
        <v>4</v>
      </c>
      <c r="J188" s="23">
        <f>4.18*20</f>
        <v>83.6</v>
      </c>
      <c r="K188" s="24">
        <f t="shared" si="261"/>
        <v>334.4</v>
      </c>
      <c r="L188" s="25">
        <f t="shared" si="262"/>
        <v>78</v>
      </c>
      <c r="M188" s="26">
        <v>1.0867999999999998</v>
      </c>
      <c r="N188" s="26">
        <f t="shared" si="263"/>
        <v>4.3471999999999991</v>
      </c>
      <c r="O188" s="24">
        <f t="shared" si="264"/>
        <v>339.08159999999992</v>
      </c>
      <c r="P188" s="27">
        <f t="shared" si="265"/>
        <v>168.37039999999996</v>
      </c>
      <c r="Q188" s="24">
        <f t="shared" si="266"/>
        <v>673.48159999999984</v>
      </c>
      <c r="R188" s="123"/>
    </row>
    <row r="189" spans="1:18" x14ac:dyDescent="0.35">
      <c r="A189" s="71" t="str">
        <f>IF(TRIM(G189)&lt;&gt;"",COUNTA(G$11:$G189)&amp;"","")</f>
        <v/>
      </c>
      <c r="B189" s="304"/>
      <c r="C189" s="304"/>
      <c r="D189" s="34"/>
      <c r="E189" s="56"/>
      <c r="F189" s="73"/>
      <c r="G189" s="74"/>
      <c r="H189" s="22"/>
      <c r="I189" s="51"/>
      <c r="J189" s="23"/>
      <c r="K189" s="24"/>
      <c r="L189" s="25"/>
      <c r="M189" s="26"/>
      <c r="N189" s="26"/>
      <c r="O189" s="24"/>
      <c r="P189" s="27"/>
      <c r="Q189" s="24"/>
      <c r="R189" s="123"/>
    </row>
    <row r="190" spans="1:18" x14ac:dyDescent="0.35">
      <c r="A190" s="71" t="str">
        <f>IF(TRIM(G190)&lt;&gt;"",COUNTA(G$11:$G190)&amp;"","")</f>
        <v/>
      </c>
      <c r="B190" s="304"/>
      <c r="C190" s="304"/>
      <c r="D190" s="34"/>
      <c r="E190" s="259" t="s">
        <v>566</v>
      </c>
      <c r="F190" s="73"/>
      <c r="G190" s="74"/>
      <c r="H190" s="22"/>
      <c r="I190" s="51"/>
      <c r="J190" s="23"/>
      <c r="K190" s="24"/>
      <c r="L190" s="25"/>
      <c r="M190" s="26"/>
      <c r="N190" s="26"/>
      <c r="O190" s="24"/>
      <c r="P190" s="27"/>
      <c r="Q190" s="24"/>
      <c r="R190" s="123"/>
    </row>
    <row r="191" spans="1:18" x14ac:dyDescent="0.35">
      <c r="A191" s="71" t="str">
        <f>IF(TRIM(G191)&lt;&gt;"",COUNTA(G$11:$G191)&amp;"","")</f>
        <v>114</v>
      </c>
      <c r="B191" s="304"/>
      <c r="C191" s="304"/>
      <c r="D191" s="34"/>
      <c r="E191" s="56" t="s">
        <v>567</v>
      </c>
      <c r="F191" s="73">
        <f>490.33/16</f>
        <v>30.645624999999999</v>
      </c>
      <c r="G191" s="74" t="s">
        <v>192</v>
      </c>
      <c r="H191" s="22">
        <v>0</v>
      </c>
      <c r="I191" s="51">
        <f t="shared" ref="I191" si="267">IF(F191=0,"",F191+(F191*H191))</f>
        <v>30.645624999999999</v>
      </c>
      <c r="J191" s="23">
        <f>2.8*16</f>
        <v>44.8</v>
      </c>
      <c r="K191" s="24">
        <f t="shared" ref="K191" si="268">IF(F191=0,"",J191*I191)</f>
        <v>1372.924</v>
      </c>
      <c r="L191" s="25">
        <f t="shared" ref="L191" si="269">$L$44</f>
        <v>78</v>
      </c>
      <c r="M191" s="26">
        <f>0.085*16</f>
        <v>1.36</v>
      </c>
      <c r="N191" s="26">
        <f t="shared" ref="N191" si="270">IF(F191=0,"",M191*I191)</f>
        <v>41.678049999999999</v>
      </c>
      <c r="O191" s="24">
        <f t="shared" ref="O191" si="271">IF(F191=0,"",N191*L191)</f>
        <v>3250.8878999999997</v>
      </c>
      <c r="P191" s="27">
        <f t="shared" ref="P191" si="272">IF(F191=0,"",(K191+O191)/I191)</f>
        <v>150.88</v>
      </c>
      <c r="Q191" s="24">
        <f t="shared" ref="Q191" si="273">IF(F191=0,"",(P191*I191))</f>
        <v>4623.8118999999997</v>
      </c>
      <c r="R191" s="123"/>
    </row>
    <row r="192" spans="1:18" x14ac:dyDescent="0.35">
      <c r="A192" s="71" t="str">
        <f>IF(TRIM(G192)&lt;&gt;"",COUNTA(G$11:$G192)&amp;"","")</f>
        <v/>
      </c>
      <c r="B192" s="304"/>
      <c r="C192" s="304"/>
      <c r="D192" s="34"/>
      <c r="E192" s="56"/>
      <c r="F192" s="73"/>
      <c r="G192" s="74"/>
      <c r="H192" s="22"/>
      <c r="I192" s="51"/>
      <c r="J192" s="23"/>
      <c r="K192" s="24"/>
      <c r="L192" s="25"/>
      <c r="M192" s="26"/>
      <c r="N192" s="26"/>
      <c r="O192" s="24"/>
      <c r="P192" s="27"/>
      <c r="Q192" s="24"/>
      <c r="R192" s="123"/>
    </row>
    <row r="193" spans="1:18" x14ac:dyDescent="0.35">
      <c r="A193" s="71" t="str">
        <f>IF(TRIM(G193)&lt;&gt;"",COUNTA(G$11:$G193)&amp;"","")</f>
        <v/>
      </c>
      <c r="B193" s="304"/>
      <c r="C193" s="304"/>
      <c r="D193" s="34"/>
      <c r="E193" s="259" t="s">
        <v>568</v>
      </c>
      <c r="F193" s="73"/>
      <c r="G193" s="74"/>
      <c r="H193" s="22"/>
      <c r="I193" s="51"/>
      <c r="J193" s="23"/>
      <c r="K193" s="24"/>
      <c r="L193" s="25"/>
      <c r="M193" s="26"/>
      <c r="N193" s="26"/>
      <c r="O193" s="24"/>
      <c r="P193" s="27"/>
      <c r="Q193" s="24"/>
      <c r="R193" s="123"/>
    </row>
    <row r="194" spans="1:18" x14ac:dyDescent="0.35">
      <c r="A194" s="71" t="str">
        <f>IF(TRIM(G194)&lt;&gt;"",COUNTA(G$11:$G194)&amp;"","")</f>
        <v>115</v>
      </c>
      <c r="B194" s="305"/>
      <c r="C194" s="305"/>
      <c r="D194" s="34"/>
      <c r="E194" s="56" t="s">
        <v>522</v>
      </c>
      <c r="F194" s="73">
        <f>298.46/16</f>
        <v>18.653749999999999</v>
      </c>
      <c r="G194" s="74" t="s">
        <v>192</v>
      </c>
      <c r="H194" s="22">
        <v>0.05</v>
      </c>
      <c r="I194" s="51">
        <f t="shared" ref="I194" si="274">IF(F194=0,"",F194+(F194*H194))</f>
        <v>19.586437499999999</v>
      </c>
      <c r="J194" s="23">
        <f>0.48*16</f>
        <v>7.68</v>
      </c>
      <c r="K194" s="24">
        <f t="shared" ref="K194" si="275">IF(F194=0,"",J194*I194)</f>
        <v>150.42383999999998</v>
      </c>
      <c r="L194" s="25">
        <f t="shared" ref="L194" si="276">$L$44</f>
        <v>78</v>
      </c>
      <c r="M194" s="26">
        <f>0.0475*16</f>
        <v>0.76</v>
      </c>
      <c r="N194" s="26">
        <f t="shared" ref="N194" si="277">IF(F194=0,"",M194*I194)</f>
        <v>14.885692499999999</v>
      </c>
      <c r="O194" s="24">
        <f t="shared" ref="O194" si="278">IF(F194=0,"",N194*L194)</f>
        <v>1161.0840149999999</v>
      </c>
      <c r="P194" s="27">
        <f t="shared" ref="P194" si="279">IF(F194=0,"",(K194+O194)/I194)</f>
        <v>66.959999999999994</v>
      </c>
      <c r="Q194" s="24">
        <f t="shared" ref="Q194" si="280">IF(F194=0,"",(P194*I194))</f>
        <v>1311.5078549999998</v>
      </c>
      <c r="R194" s="123"/>
    </row>
    <row r="195" spans="1:18" x14ac:dyDescent="0.35">
      <c r="A195" s="71" t="str">
        <f>IF(TRIM(G195)&lt;&gt;"",COUNTA(G$11:$G195)&amp;"","")</f>
        <v/>
      </c>
      <c r="B195" s="75"/>
      <c r="C195" s="75"/>
      <c r="D195" s="34"/>
      <c r="E195" s="56"/>
      <c r="F195" s="73"/>
      <c r="G195" s="74"/>
      <c r="H195" s="22"/>
      <c r="I195" s="51"/>
      <c r="J195" s="23"/>
      <c r="K195" s="24"/>
      <c r="L195" s="25"/>
      <c r="M195" s="26"/>
      <c r="N195" s="26"/>
      <c r="O195" s="24"/>
      <c r="P195" s="27"/>
      <c r="Q195" s="24"/>
      <c r="R195" s="123"/>
    </row>
    <row r="196" spans="1:18" x14ac:dyDescent="0.35">
      <c r="A196" s="71" t="str">
        <f>IF(TRIM(G196)&lt;&gt;"",COUNTA(G$11:$G196)&amp;"","")</f>
        <v/>
      </c>
      <c r="B196" s="75"/>
      <c r="C196" s="75"/>
      <c r="D196" s="34"/>
      <c r="E196" s="268" t="s">
        <v>512</v>
      </c>
      <c r="F196" s="73"/>
      <c r="G196" s="74"/>
      <c r="H196" s="22"/>
      <c r="I196" s="51"/>
      <c r="J196" s="23"/>
      <c r="K196" s="24"/>
      <c r="L196" s="25"/>
      <c r="M196" s="26"/>
      <c r="N196" s="26"/>
      <c r="O196" s="24"/>
      <c r="P196" s="27"/>
      <c r="Q196" s="24"/>
      <c r="R196" s="123"/>
    </row>
    <row r="197" spans="1:18" x14ac:dyDescent="0.35">
      <c r="A197" s="71" t="str">
        <f>IF(TRIM(G197)&lt;&gt;"",COUNTA(G$11:$G197)&amp;"","")</f>
        <v/>
      </c>
      <c r="B197" s="309" t="s">
        <v>608</v>
      </c>
      <c r="C197" s="309" t="s">
        <v>608</v>
      </c>
      <c r="D197" s="34"/>
      <c r="E197" s="259" t="s">
        <v>513</v>
      </c>
      <c r="F197" s="73"/>
      <c r="G197" s="74"/>
      <c r="H197" s="22"/>
      <c r="I197" s="51"/>
      <c r="J197" s="23"/>
      <c r="K197" s="24"/>
      <c r="L197" s="25"/>
      <c r="M197" s="26"/>
      <c r="N197" s="26"/>
      <c r="O197" s="24"/>
      <c r="P197" s="27"/>
      <c r="Q197" s="24"/>
      <c r="R197" s="123"/>
    </row>
    <row r="198" spans="1:18" x14ac:dyDescent="0.35">
      <c r="A198" s="71" t="str">
        <f>IF(TRIM(G198)&lt;&gt;"",COUNTA(G$11:$G198)&amp;"","")</f>
        <v>116</v>
      </c>
      <c r="B198" s="362"/>
      <c r="C198" s="362"/>
      <c r="D198" s="34"/>
      <c r="E198" s="259" t="s">
        <v>515</v>
      </c>
      <c r="F198" s="255">
        <v>244.36</v>
      </c>
      <c r="G198" s="260" t="s">
        <v>154</v>
      </c>
      <c r="H198" s="22"/>
      <c r="I198" s="51"/>
      <c r="J198" s="23"/>
      <c r="K198" s="24"/>
      <c r="L198" s="25"/>
      <c r="M198" s="26"/>
      <c r="N198" s="26"/>
      <c r="O198" s="24"/>
      <c r="P198" s="27"/>
      <c r="Q198" s="24"/>
      <c r="R198" s="123"/>
    </row>
    <row r="199" spans="1:18" x14ac:dyDescent="0.35">
      <c r="A199" s="71" t="str">
        <f>IF(TRIM(G199)&lt;&gt;"",COUNTA(G$11:$G199)&amp;"","")</f>
        <v>117</v>
      </c>
      <c r="B199" s="362"/>
      <c r="C199" s="362"/>
      <c r="D199" s="34"/>
      <c r="E199" s="56" t="s">
        <v>517</v>
      </c>
      <c r="F199" s="73">
        <f>F198/1.33</f>
        <v>183.72932330827066</v>
      </c>
      <c r="G199" s="74" t="s">
        <v>192</v>
      </c>
      <c r="H199" s="22">
        <v>0.05</v>
      </c>
      <c r="I199" s="51">
        <f t="shared" ref="I199:I202" si="281">IF(F199=0,"",F199+(F199*H199))</f>
        <v>192.91578947368419</v>
      </c>
      <c r="J199" s="23">
        <f>0.78*(104/12)</f>
        <v>6.76</v>
      </c>
      <c r="K199" s="24">
        <f t="shared" ref="K199:K202" si="282">IF(F199=0,"",J199*I199)</f>
        <v>1304.1107368421051</v>
      </c>
      <c r="L199" s="25">
        <f t="shared" ref="L199:L202" si="283">$L$44</f>
        <v>78</v>
      </c>
      <c r="M199" s="26">
        <f>0.0543*(104/12)</f>
        <v>0.47059999999999996</v>
      </c>
      <c r="N199" s="26">
        <f t="shared" ref="N199:N202" si="284">IF(F199=0,"",M199*I199)</f>
        <v>90.786170526315772</v>
      </c>
      <c r="O199" s="24">
        <f t="shared" ref="O199:O202" si="285">IF(F199=0,"",N199*L199)</f>
        <v>7081.3213010526306</v>
      </c>
      <c r="P199" s="27">
        <f t="shared" ref="P199:P202" si="286">IF(F199=0,"",(K199+O199)/I199)</f>
        <v>43.466799999999999</v>
      </c>
      <c r="Q199" s="24">
        <f t="shared" ref="Q199:Q202" si="287">IF(F199=0,"",(P199*I199))</f>
        <v>8385.4320378947359</v>
      </c>
      <c r="R199" s="123"/>
    </row>
    <row r="200" spans="1:18" x14ac:dyDescent="0.35">
      <c r="A200" s="71" t="str">
        <f>IF(TRIM(G200)&lt;&gt;"",COUNTA(G$11:$G200)&amp;"","")</f>
        <v>118</v>
      </c>
      <c r="B200" s="362"/>
      <c r="C200" s="362"/>
      <c r="D200" s="34"/>
      <c r="E200" s="56" t="s">
        <v>516</v>
      </c>
      <c r="F200" s="73">
        <f>(F198*2)/16</f>
        <v>30.545000000000002</v>
      </c>
      <c r="G200" s="74" t="s">
        <v>192</v>
      </c>
      <c r="H200" s="22">
        <v>0.05</v>
      </c>
      <c r="I200" s="51">
        <f t="shared" si="281"/>
        <v>32.072250000000004</v>
      </c>
      <c r="J200" s="23">
        <f>0.78*16</f>
        <v>12.48</v>
      </c>
      <c r="K200" s="24">
        <f t="shared" si="282"/>
        <v>400.26168000000007</v>
      </c>
      <c r="L200" s="25">
        <f t="shared" si="283"/>
        <v>78</v>
      </c>
      <c r="M200" s="26">
        <f>0.0543*16</f>
        <v>0.86880000000000002</v>
      </c>
      <c r="N200" s="26">
        <f t="shared" si="284"/>
        <v>27.864370800000003</v>
      </c>
      <c r="O200" s="24">
        <f t="shared" si="285"/>
        <v>2173.4209224000001</v>
      </c>
      <c r="P200" s="27">
        <f t="shared" si="286"/>
        <v>80.246399999999994</v>
      </c>
      <c r="Q200" s="24">
        <f t="shared" si="287"/>
        <v>2573.6826024000002</v>
      </c>
      <c r="R200" s="123"/>
    </row>
    <row r="201" spans="1:18" x14ac:dyDescent="0.35">
      <c r="A201" s="71" t="str">
        <f>IF(TRIM(G201)&lt;&gt;"",COUNTA(G$11:$G201)&amp;"","")</f>
        <v>119</v>
      </c>
      <c r="B201" s="362"/>
      <c r="C201" s="362"/>
      <c r="D201" s="34"/>
      <c r="E201" s="56" t="s">
        <v>516</v>
      </c>
      <c r="F201" s="73">
        <f>F198/16</f>
        <v>15.272500000000001</v>
      </c>
      <c r="G201" s="74" t="s">
        <v>192</v>
      </c>
      <c r="H201" s="22">
        <v>0.05</v>
      </c>
      <c r="I201" s="51">
        <f t="shared" si="281"/>
        <v>16.036125000000002</v>
      </c>
      <c r="J201" s="23">
        <f>0.78*16</f>
        <v>12.48</v>
      </c>
      <c r="K201" s="24">
        <f t="shared" si="282"/>
        <v>200.13084000000003</v>
      </c>
      <c r="L201" s="25">
        <f t="shared" si="283"/>
        <v>78</v>
      </c>
      <c r="M201" s="26">
        <f>0.0543*16</f>
        <v>0.86880000000000002</v>
      </c>
      <c r="N201" s="26">
        <f t="shared" si="284"/>
        <v>13.932185400000002</v>
      </c>
      <c r="O201" s="24">
        <f t="shared" si="285"/>
        <v>1086.7104612000001</v>
      </c>
      <c r="P201" s="27">
        <f t="shared" si="286"/>
        <v>80.246399999999994</v>
      </c>
      <c r="Q201" s="24">
        <f t="shared" si="287"/>
        <v>1286.8413012000001</v>
      </c>
      <c r="R201" s="123"/>
    </row>
    <row r="202" spans="1:18" x14ac:dyDescent="0.35">
      <c r="A202" s="71" t="str">
        <f>IF(TRIM(G202)&lt;&gt;"",COUNTA(G$11:$G202)&amp;"","")</f>
        <v>120</v>
      </c>
      <c r="B202" s="362"/>
      <c r="C202" s="362"/>
      <c r="D202" s="34"/>
      <c r="E202" s="56" t="s">
        <v>541</v>
      </c>
      <c r="F202" s="73">
        <f>(F198*10)/32</f>
        <v>76.362500000000011</v>
      </c>
      <c r="G202" s="74" t="s">
        <v>192</v>
      </c>
      <c r="H202" s="22">
        <v>0.05</v>
      </c>
      <c r="I202" s="51">
        <f t="shared" si="281"/>
        <v>80.180625000000006</v>
      </c>
      <c r="J202" s="23">
        <f>44.05</f>
        <v>44.05</v>
      </c>
      <c r="K202" s="24">
        <f t="shared" si="282"/>
        <v>3531.9565312499999</v>
      </c>
      <c r="L202" s="25">
        <f t="shared" si="283"/>
        <v>78</v>
      </c>
      <c r="M202" s="26">
        <f>0.022*32</f>
        <v>0.70399999999999996</v>
      </c>
      <c r="N202" s="26">
        <f t="shared" si="284"/>
        <v>56.447160000000004</v>
      </c>
      <c r="O202" s="24">
        <f t="shared" si="285"/>
        <v>4402.8784800000003</v>
      </c>
      <c r="P202" s="27">
        <f t="shared" si="286"/>
        <v>98.961999999999989</v>
      </c>
      <c r="Q202" s="24">
        <f t="shared" si="287"/>
        <v>7934.8350112499993</v>
      </c>
      <c r="R202" s="123"/>
    </row>
    <row r="203" spans="1:18" x14ac:dyDescent="0.35">
      <c r="A203" s="71" t="str">
        <f>IF(TRIM(G203)&lt;&gt;"",COUNTA(G$11:$G203)&amp;"","")</f>
        <v/>
      </c>
      <c r="B203" s="362"/>
      <c r="C203" s="362"/>
      <c r="D203" s="34"/>
      <c r="E203" s="56"/>
      <c r="F203" s="73"/>
      <c r="G203" s="74"/>
      <c r="H203" s="22"/>
      <c r="I203" s="51"/>
      <c r="J203" s="23"/>
      <c r="K203" s="24"/>
      <c r="L203" s="25"/>
      <c r="M203" s="26"/>
      <c r="N203" s="26"/>
      <c r="O203" s="24"/>
      <c r="P203" s="27"/>
      <c r="Q203" s="24"/>
      <c r="R203" s="123"/>
    </row>
    <row r="204" spans="1:18" x14ac:dyDescent="0.35">
      <c r="A204" s="71" t="str">
        <f>IF(TRIM(G204)&lt;&gt;"",COUNTA(G$11:$G204)&amp;"","")</f>
        <v>121</v>
      </c>
      <c r="B204" s="362"/>
      <c r="C204" s="362"/>
      <c r="D204" s="34"/>
      <c r="E204" s="259" t="s">
        <v>520</v>
      </c>
      <c r="F204" s="255">
        <v>337.21</v>
      </c>
      <c r="G204" s="260" t="s">
        <v>154</v>
      </c>
      <c r="H204" s="22"/>
      <c r="I204" s="51"/>
      <c r="J204" s="23"/>
      <c r="K204" s="24"/>
      <c r="L204" s="25"/>
      <c r="M204" s="26"/>
      <c r="N204" s="26"/>
      <c r="O204" s="24"/>
      <c r="P204" s="27"/>
      <c r="Q204" s="24"/>
      <c r="R204" s="123"/>
    </row>
    <row r="205" spans="1:18" x14ac:dyDescent="0.35">
      <c r="A205" s="71" t="str">
        <f>IF(TRIM(G205)&lt;&gt;"",COUNTA(G$11:$G205)&amp;"","")</f>
        <v>122</v>
      </c>
      <c r="B205" s="362"/>
      <c r="C205" s="362"/>
      <c r="D205" s="34"/>
      <c r="E205" s="56" t="s">
        <v>521</v>
      </c>
      <c r="F205" s="73">
        <f>F204/1.33</f>
        <v>253.54135338345861</v>
      </c>
      <c r="G205" s="74" t="s">
        <v>192</v>
      </c>
      <c r="H205" s="22">
        <v>0.05</v>
      </c>
      <c r="I205" s="51">
        <f t="shared" ref="I205:I207" si="288">IF(F205=0,"",F205+(F205*H205))</f>
        <v>266.21842105263153</v>
      </c>
      <c r="J205" s="23">
        <f>0.48*(104/12)</f>
        <v>4.1599999999999993</v>
      </c>
      <c r="K205" s="24">
        <f t="shared" ref="K205:K207" si="289">IF(F205=0,"",J205*I205)</f>
        <v>1107.468631578947</v>
      </c>
      <c r="L205" s="25">
        <f t="shared" ref="L205:L207" si="290">$L$44</f>
        <v>78</v>
      </c>
      <c r="M205" s="26">
        <f>0.0475*(104/12)</f>
        <v>0.41166666666666663</v>
      </c>
      <c r="N205" s="26">
        <f t="shared" ref="N205:N207" si="291">IF(F205=0,"",M205*I205)</f>
        <v>109.59324999999997</v>
      </c>
      <c r="O205" s="24">
        <f t="shared" ref="O205:O207" si="292">IF(F205=0,"",N205*L205)</f>
        <v>8548.2734999999975</v>
      </c>
      <c r="P205" s="27">
        <f t="shared" ref="P205:P207" si="293">IF(F205=0,"",(K205+O205)/I205)</f>
        <v>36.269999999999996</v>
      </c>
      <c r="Q205" s="24">
        <f t="shared" ref="Q205:Q207" si="294">IF(F205=0,"",(P205*I205))</f>
        <v>9655.7421315789452</v>
      </c>
      <c r="R205" s="123"/>
    </row>
    <row r="206" spans="1:18" x14ac:dyDescent="0.35">
      <c r="A206" s="71" t="str">
        <f>IF(TRIM(G206)&lt;&gt;"",COUNTA(G$11:$G206)&amp;"","")</f>
        <v>123</v>
      </c>
      <c r="B206" s="362"/>
      <c r="C206" s="362"/>
      <c r="D206" s="34"/>
      <c r="E206" s="56" t="s">
        <v>522</v>
      </c>
      <c r="F206" s="73">
        <f>(F204*2)/16</f>
        <v>42.151249999999997</v>
      </c>
      <c r="G206" s="74" t="s">
        <v>192</v>
      </c>
      <c r="H206" s="22">
        <v>0.05</v>
      </c>
      <c r="I206" s="51">
        <f t="shared" si="288"/>
        <v>44.258812499999998</v>
      </c>
      <c r="J206" s="23">
        <f>0.48*16</f>
        <v>7.68</v>
      </c>
      <c r="K206" s="24">
        <f t="shared" si="289"/>
        <v>339.90767999999997</v>
      </c>
      <c r="L206" s="25">
        <f t="shared" si="290"/>
        <v>78</v>
      </c>
      <c r="M206" s="26">
        <f>0.0475*16</f>
        <v>0.76</v>
      </c>
      <c r="N206" s="26">
        <f t="shared" si="291"/>
        <v>33.636697499999997</v>
      </c>
      <c r="O206" s="24">
        <f t="shared" si="292"/>
        <v>2623.6624049999996</v>
      </c>
      <c r="P206" s="27">
        <f t="shared" si="293"/>
        <v>66.959999999999994</v>
      </c>
      <c r="Q206" s="24">
        <f t="shared" si="294"/>
        <v>2963.5700849999994</v>
      </c>
      <c r="R206" s="123"/>
    </row>
    <row r="207" spans="1:18" x14ac:dyDescent="0.35">
      <c r="A207" s="71" t="str">
        <f>IF(TRIM(G207)&lt;&gt;"",COUNTA(G$11:$G207)&amp;"","")</f>
        <v>124</v>
      </c>
      <c r="B207" s="362"/>
      <c r="C207" s="362"/>
      <c r="D207" s="34"/>
      <c r="E207" s="56" t="s">
        <v>522</v>
      </c>
      <c r="F207" s="73">
        <f>F204/16</f>
        <v>21.075624999999999</v>
      </c>
      <c r="G207" s="74" t="s">
        <v>192</v>
      </c>
      <c r="H207" s="22">
        <v>0.05</v>
      </c>
      <c r="I207" s="51">
        <f t="shared" si="288"/>
        <v>22.129406249999999</v>
      </c>
      <c r="J207" s="23">
        <f>0.48*16</f>
        <v>7.68</v>
      </c>
      <c r="K207" s="24">
        <f t="shared" si="289"/>
        <v>169.95383999999999</v>
      </c>
      <c r="L207" s="25">
        <f t="shared" si="290"/>
        <v>78</v>
      </c>
      <c r="M207" s="26">
        <f>0.0475*16</f>
        <v>0.76</v>
      </c>
      <c r="N207" s="26">
        <f t="shared" si="291"/>
        <v>16.818348749999998</v>
      </c>
      <c r="O207" s="24">
        <f t="shared" si="292"/>
        <v>1311.8312024999998</v>
      </c>
      <c r="P207" s="27">
        <f t="shared" si="293"/>
        <v>66.959999999999994</v>
      </c>
      <c r="Q207" s="24">
        <f t="shared" si="294"/>
        <v>1481.7850424999997</v>
      </c>
      <c r="R207" s="123"/>
    </row>
    <row r="208" spans="1:18" x14ac:dyDescent="0.35">
      <c r="A208" s="71" t="str">
        <f>IF(TRIM(G208)&lt;&gt;"",COUNTA(G$11:$G208)&amp;"","")</f>
        <v/>
      </c>
      <c r="B208" s="362"/>
      <c r="C208" s="362"/>
      <c r="D208" s="34"/>
      <c r="E208" s="56"/>
      <c r="F208" s="73"/>
      <c r="G208" s="74"/>
      <c r="H208" s="22"/>
      <c r="I208" s="51"/>
      <c r="J208" s="23"/>
      <c r="K208" s="24"/>
      <c r="L208" s="25"/>
      <c r="M208" s="26"/>
      <c r="N208" s="26"/>
      <c r="O208" s="24"/>
      <c r="P208" s="27"/>
      <c r="Q208" s="24"/>
      <c r="R208" s="123"/>
    </row>
    <row r="209" spans="1:18" x14ac:dyDescent="0.35">
      <c r="A209" s="71" t="str">
        <f>IF(TRIM(G209)&lt;&gt;"",COUNTA(G$11:$G209)&amp;"","")</f>
        <v>125</v>
      </c>
      <c r="B209" s="362"/>
      <c r="C209" s="362"/>
      <c r="D209" s="34"/>
      <c r="E209" s="259" t="s">
        <v>578</v>
      </c>
      <c r="F209" s="255">
        <v>28.89</v>
      </c>
      <c r="G209" s="260" t="s">
        <v>154</v>
      </c>
      <c r="H209" s="22"/>
      <c r="I209" s="51"/>
      <c r="J209" s="23"/>
      <c r="K209" s="24"/>
      <c r="L209" s="25"/>
      <c r="M209" s="26"/>
      <c r="N209" s="26"/>
      <c r="O209" s="24"/>
      <c r="P209" s="27"/>
      <c r="Q209" s="24"/>
      <c r="R209" s="123"/>
    </row>
    <row r="210" spans="1:18" x14ac:dyDescent="0.35">
      <c r="A210" s="71" t="str">
        <f>IF(TRIM(G210)&lt;&gt;"",COUNTA(G$11:$G210)&amp;"","")</f>
        <v>126</v>
      </c>
      <c r="B210" s="362"/>
      <c r="C210" s="362"/>
      <c r="D210" s="34"/>
      <c r="E210" s="56" t="s">
        <v>521</v>
      </c>
      <c r="F210" s="73">
        <f>F209/1.33</f>
        <v>21.721804511278194</v>
      </c>
      <c r="G210" s="74" t="s">
        <v>192</v>
      </c>
      <c r="H210" s="22">
        <v>0.05</v>
      </c>
      <c r="I210" s="51">
        <f t="shared" ref="I210:I213" si="295">IF(F210=0,"",F210+(F210*H210))</f>
        <v>22.807894736842105</v>
      </c>
      <c r="J210" s="23">
        <f>0.48*(104/12)</f>
        <v>4.1599999999999993</v>
      </c>
      <c r="K210" s="24">
        <f t="shared" ref="K210:K213" si="296">IF(F210=0,"",J210*I210)</f>
        <v>94.880842105263142</v>
      </c>
      <c r="L210" s="25">
        <f t="shared" ref="L210:L213" si="297">$L$44</f>
        <v>78</v>
      </c>
      <c r="M210" s="26">
        <f>0.0475*(104/12)</f>
        <v>0.41166666666666663</v>
      </c>
      <c r="N210" s="26">
        <f t="shared" ref="N210:N213" si="298">IF(F210=0,"",M210*I210)</f>
        <v>9.3892499999999988</v>
      </c>
      <c r="O210" s="24">
        <f t="shared" ref="O210:O213" si="299">IF(F210=0,"",N210*L210)</f>
        <v>732.36149999999986</v>
      </c>
      <c r="P210" s="27">
        <f t="shared" ref="P210:P213" si="300">IF(F210=0,"",(K210+O210)/I210)</f>
        <v>36.269999999999996</v>
      </c>
      <c r="Q210" s="24">
        <f t="shared" ref="Q210:Q213" si="301">IF(F210=0,"",(P210*I210))</f>
        <v>827.24234210526311</v>
      </c>
      <c r="R210" s="123"/>
    </row>
    <row r="211" spans="1:18" x14ac:dyDescent="0.35">
      <c r="A211" s="71" t="str">
        <f>IF(TRIM(G211)&lt;&gt;"",COUNTA(G$11:$G211)&amp;"","")</f>
        <v>127</v>
      </c>
      <c r="B211" s="362"/>
      <c r="C211" s="362"/>
      <c r="D211" s="34"/>
      <c r="E211" s="56" t="s">
        <v>522</v>
      </c>
      <c r="F211" s="73">
        <f>(F209*2)/16</f>
        <v>3.6112500000000001</v>
      </c>
      <c r="G211" s="74" t="s">
        <v>192</v>
      </c>
      <c r="H211" s="22">
        <v>0.05</v>
      </c>
      <c r="I211" s="51">
        <f t="shared" si="295"/>
        <v>3.7918125000000003</v>
      </c>
      <c r="J211" s="23">
        <f>0.48*16</f>
        <v>7.68</v>
      </c>
      <c r="K211" s="24">
        <f t="shared" si="296"/>
        <v>29.121120000000001</v>
      </c>
      <c r="L211" s="25">
        <f t="shared" si="297"/>
        <v>78</v>
      </c>
      <c r="M211" s="26">
        <f>0.0475*16</f>
        <v>0.76</v>
      </c>
      <c r="N211" s="26">
        <f t="shared" si="298"/>
        <v>2.8817775000000001</v>
      </c>
      <c r="O211" s="24">
        <f t="shared" si="299"/>
        <v>224.77864500000001</v>
      </c>
      <c r="P211" s="27">
        <f t="shared" si="300"/>
        <v>66.959999999999994</v>
      </c>
      <c r="Q211" s="24">
        <f t="shared" si="301"/>
        <v>253.899765</v>
      </c>
      <c r="R211" s="123"/>
    </row>
    <row r="212" spans="1:18" x14ac:dyDescent="0.35">
      <c r="A212" s="71" t="str">
        <f>IF(TRIM(G212)&lt;&gt;"",COUNTA(G$11:$G212)&amp;"","")</f>
        <v>128</v>
      </c>
      <c r="B212" s="362"/>
      <c r="C212" s="362"/>
      <c r="D212" s="34"/>
      <c r="E212" s="56" t="s">
        <v>522</v>
      </c>
      <c r="F212" s="73">
        <f>F209/16</f>
        <v>1.805625</v>
      </c>
      <c r="G212" s="74" t="s">
        <v>192</v>
      </c>
      <c r="H212" s="22">
        <v>0.05</v>
      </c>
      <c r="I212" s="51">
        <f t="shared" si="295"/>
        <v>1.8959062500000001</v>
      </c>
      <c r="J212" s="23">
        <f>0.48*16</f>
        <v>7.68</v>
      </c>
      <c r="K212" s="24">
        <f t="shared" si="296"/>
        <v>14.560560000000001</v>
      </c>
      <c r="L212" s="25">
        <f t="shared" si="297"/>
        <v>78</v>
      </c>
      <c r="M212" s="26">
        <f>0.0475*16</f>
        <v>0.76</v>
      </c>
      <c r="N212" s="26">
        <f t="shared" si="298"/>
        <v>1.4408887500000001</v>
      </c>
      <c r="O212" s="24">
        <f t="shared" si="299"/>
        <v>112.38932250000001</v>
      </c>
      <c r="P212" s="27">
        <f t="shared" si="300"/>
        <v>66.959999999999994</v>
      </c>
      <c r="Q212" s="24">
        <f t="shared" si="301"/>
        <v>126.9498825</v>
      </c>
      <c r="R212" s="123"/>
    </row>
    <row r="213" spans="1:18" x14ac:dyDescent="0.35">
      <c r="A213" s="71" t="str">
        <f>IF(TRIM(G213)&lt;&gt;"",COUNTA(G$11:$G213)&amp;"","")</f>
        <v>129</v>
      </c>
      <c r="B213" s="362"/>
      <c r="C213" s="362"/>
      <c r="D213" s="34"/>
      <c r="E213" s="56" t="s">
        <v>541</v>
      </c>
      <c r="F213" s="73">
        <f>(F209*8.5*2)/32</f>
        <v>15.3478125</v>
      </c>
      <c r="G213" s="74" t="s">
        <v>192</v>
      </c>
      <c r="H213" s="22">
        <v>0.05</v>
      </c>
      <c r="I213" s="51">
        <f t="shared" si="295"/>
        <v>16.115203125000001</v>
      </c>
      <c r="J213" s="23">
        <f>44.05</f>
        <v>44.05</v>
      </c>
      <c r="K213" s="24">
        <f t="shared" si="296"/>
        <v>709.87469765624996</v>
      </c>
      <c r="L213" s="25">
        <f t="shared" si="297"/>
        <v>78</v>
      </c>
      <c r="M213" s="26">
        <f>0.022*32</f>
        <v>0.70399999999999996</v>
      </c>
      <c r="N213" s="26">
        <f t="shared" si="298"/>
        <v>11.345103</v>
      </c>
      <c r="O213" s="24">
        <f t="shared" si="299"/>
        <v>884.91803400000003</v>
      </c>
      <c r="P213" s="27">
        <f t="shared" si="300"/>
        <v>98.961999999999989</v>
      </c>
      <c r="Q213" s="24">
        <f t="shared" si="301"/>
        <v>1594.79273165625</v>
      </c>
      <c r="R213" s="123"/>
    </row>
    <row r="214" spans="1:18" x14ac:dyDescent="0.35">
      <c r="A214" s="71" t="str">
        <f>IF(TRIM(G214)&lt;&gt;"",COUNTA(G$11:$G214)&amp;"","")</f>
        <v/>
      </c>
      <c r="B214" s="362"/>
      <c r="C214" s="362"/>
      <c r="D214" s="34"/>
      <c r="E214" s="56"/>
      <c r="F214" s="73"/>
      <c r="G214" s="74"/>
      <c r="H214" s="22"/>
      <c r="I214" s="51"/>
      <c r="J214" s="23"/>
      <c r="K214" s="24"/>
      <c r="L214" s="25"/>
      <c r="M214" s="26"/>
      <c r="N214" s="26"/>
      <c r="O214" s="24"/>
      <c r="P214" s="27"/>
      <c r="Q214" s="24"/>
      <c r="R214" s="123"/>
    </row>
    <row r="215" spans="1:18" x14ac:dyDescent="0.35">
      <c r="A215" s="71" t="str">
        <f>IF(TRIM(G215)&lt;&gt;"",COUNTA(G$11:$G215)&amp;"","")</f>
        <v/>
      </c>
      <c r="B215" s="362"/>
      <c r="C215" s="362"/>
      <c r="D215" s="34"/>
      <c r="E215" s="259" t="s">
        <v>525</v>
      </c>
      <c r="F215" s="73"/>
      <c r="G215" s="74"/>
      <c r="H215" s="22"/>
      <c r="I215" s="51"/>
      <c r="J215" s="23"/>
      <c r="K215" s="24"/>
      <c r="L215" s="25"/>
      <c r="M215" s="26"/>
      <c r="N215" s="26"/>
      <c r="O215" s="24"/>
      <c r="P215" s="27"/>
      <c r="Q215" s="24"/>
      <c r="R215" s="123"/>
    </row>
    <row r="216" spans="1:18" x14ac:dyDescent="0.35">
      <c r="A216" s="71" t="str">
        <f>IF(TRIM(G216)&lt;&gt;"",COUNTA(G$11:$G216)&amp;"","")</f>
        <v>130</v>
      </c>
      <c r="B216" s="362"/>
      <c r="C216" s="362"/>
      <c r="D216" s="34"/>
      <c r="E216" s="56" t="s">
        <v>517</v>
      </c>
      <c r="F216" s="73">
        <v>130</v>
      </c>
      <c r="G216" s="74" t="s">
        <v>192</v>
      </c>
      <c r="H216" s="22">
        <v>0.05</v>
      </c>
      <c r="I216" s="51">
        <f t="shared" ref="I216:I219" si="302">IF(F216=0,"",F216+(F216*H216))</f>
        <v>136.5</v>
      </c>
      <c r="J216" s="23">
        <f>0.78*(104/12)</f>
        <v>6.76</v>
      </c>
      <c r="K216" s="24">
        <f t="shared" ref="K216:K219" si="303">IF(F216=0,"",J216*I216)</f>
        <v>922.74</v>
      </c>
      <c r="L216" s="25">
        <f t="shared" ref="L216:L219" si="304">$L$44</f>
        <v>78</v>
      </c>
      <c r="M216" s="26">
        <f>0.0543*(104/12)</f>
        <v>0.47059999999999996</v>
      </c>
      <c r="N216" s="26">
        <f t="shared" ref="N216:N219" si="305">IF(F216=0,"",M216*I216)</f>
        <v>64.236899999999991</v>
      </c>
      <c r="O216" s="24">
        <f t="shared" ref="O216:O219" si="306">IF(F216=0,"",N216*L216)</f>
        <v>5010.4781999999996</v>
      </c>
      <c r="P216" s="27">
        <f t="shared" ref="P216:P219" si="307">IF(F216=0,"",(K216+O216)/I216)</f>
        <v>43.466799999999992</v>
      </c>
      <c r="Q216" s="24">
        <f t="shared" ref="Q216:Q219" si="308">IF(F216=0,"",(P216*I216))</f>
        <v>5933.2181999999993</v>
      </c>
      <c r="R216" s="123"/>
    </row>
    <row r="217" spans="1:18" x14ac:dyDescent="0.35">
      <c r="A217" s="71" t="str">
        <f>IF(TRIM(G217)&lt;&gt;"",COUNTA(G$11:$G217)&amp;"","")</f>
        <v>131</v>
      </c>
      <c r="B217" s="362"/>
      <c r="C217" s="362"/>
      <c r="D217" s="34"/>
      <c r="E217" s="56" t="s">
        <v>526</v>
      </c>
      <c r="F217" s="73">
        <v>54</v>
      </c>
      <c r="G217" s="74" t="s">
        <v>192</v>
      </c>
      <c r="H217" s="22">
        <v>0.05</v>
      </c>
      <c r="I217" s="51">
        <f t="shared" si="302"/>
        <v>56.7</v>
      </c>
      <c r="J217" s="23">
        <f>0.78*(92/12)</f>
        <v>5.98</v>
      </c>
      <c r="K217" s="24">
        <f t="shared" si="303"/>
        <v>339.06600000000003</v>
      </c>
      <c r="L217" s="25">
        <f t="shared" si="304"/>
        <v>78</v>
      </c>
      <c r="M217" s="26">
        <f>0.0543*(92/12)</f>
        <v>0.4163</v>
      </c>
      <c r="N217" s="26">
        <f t="shared" si="305"/>
        <v>23.604210000000002</v>
      </c>
      <c r="O217" s="24">
        <f t="shared" si="306"/>
        <v>1841.1283800000001</v>
      </c>
      <c r="P217" s="27">
        <f t="shared" si="307"/>
        <v>38.4514</v>
      </c>
      <c r="Q217" s="24">
        <f t="shared" si="308"/>
        <v>2180.1943799999999</v>
      </c>
      <c r="R217" s="123"/>
    </row>
    <row r="218" spans="1:18" x14ac:dyDescent="0.35">
      <c r="A218" s="71" t="str">
        <f>IF(TRIM(G218)&lt;&gt;"",COUNTA(G$11:$G218)&amp;"","")</f>
        <v>132</v>
      </c>
      <c r="B218" s="362"/>
      <c r="C218" s="362"/>
      <c r="D218" s="34"/>
      <c r="E218" s="56" t="s">
        <v>521</v>
      </c>
      <c r="F218" s="73">
        <v>144</v>
      </c>
      <c r="G218" s="74" t="s">
        <v>192</v>
      </c>
      <c r="H218" s="22">
        <v>0.05</v>
      </c>
      <c r="I218" s="51">
        <f t="shared" si="302"/>
        <v>151.19999999999999</v>
      </c>
      <c r="J218" s="23">
        <f>0.48*(104/12)</f>
        <v>4.1599999999999993</v>
      </c>
      <c r="K218" s="24">
        <f t="shared" si="303"/>
        <v>628.99199999999985</v>
      </c>
      <c r="L218" s="25">
        <f t="shared" si="304"/>
        <v>78</v>
      </c>
      <c r="M218" s="26">
        <f>0.0475*(104/12)</f>
        <v>0.41166666666666663</v>
      </c>
      <c r="N218" s="26">
        <f t="shared" si="305"/>
        <v>62.243999999999986</v>
      </c>
      <c r="O218" s="24">
        <f t="shared" si="306"/>
        <v>4855.0319999999992</v>
      </c>
      <c r="P218" s="27">
        <f t="shared" si="307"/>
        <v>36.269999999999996</v>
      </c>
      <c r="Q218" s="24">
        <f t="shared" si="308"/>
        <v>5484.0239999999994</v>
      </c>
      <c r="R218" s="123"/>
    </row>
    <row r="219" spans="1:18" x14ac:dyDescent="0.35">
      <c r="A219" s="71" t="str">
        <f>IF(TRIM(G219)&lt;&gt;"",COUNTA(G$11:$G219)&amp;"","")</f>
        <v>133</v>
      </c>
      <c r="B219" s="362"/>
      <c r="C219" s="362"/>
      <c r="D219" s="34"/>
      <c r="E219" s="56" t="s">
        <v>524</v>
      </c>
      <c r="F219" s="73">
        <v>40</v>
      </c>
      <c r="G219" s="74" t="s">
        <v>192</v>
      </c>
      <c r="H219" s="22">
        <v>0.05</v>
      </c>
      <c r="I219" s="51">
        <f t="shared" si="302"/>
        <v>42</v>
      </c>
      <c r="J219" s="23">
        <f>0.48*(92/12)</f>
        <v>3.68</v>
      </c>
      <c r="K219" s="24">
        <f t="shared" si="303"/>
        <v>154.56</v>
      </c>
      <c r="L219" s="25">
        <f t="shared" si="304"/>
        <v>78</v>
      </c>
      <c r="M219" s="26">
        <f>0.0475*(92/12)</f>
        <v>0.36416666666666669</v>
      </c>
      <c r="N219" s="26">
        <f t="shared" si="305"/>
        <v>15.295000000000002</v>
      </c>
      <c r="O219" s="24">
        <f t="shared" si="306"/>
        <v>1193.0100000000002</v>
      </c>
      <c r="P219" s="27">
        <f t="shared" si="307"/>
        <v>32.085000000000001</v>
      </c>
      <c r="Q219" s="24">
        <f t="shared" si="308"/>
        <v>1347.57</v>
      </c>
      <c r="R219" s="123"/>
    </row>
    <row r="220" spans="1:18" x14ac:dyDescent="0.35">
      <c r="A220" s="71" t="str">
        <f>IF(TRIM(G220)&lt;&gt;"",COUNTA(G$11:$G220)&amp;"","")</f>
        <v/>
      </c>
      <c r="B220" s="362"/>
      <c r="C220" s="362"/>
      <c r="D220" s="34"/>
      <c r="E220" s="56"/>
      <c r="F220" s="73"/>
      <c r="G220" s="74"/>
      <c r="H220" s="22"/>
      <c r="I220" s="51"/>
      <c r="J220" s="23"/>
      <c r="K220" s="24"/>
      <c r="L220" s="25"/>
      <c r="M220" s="26"/>
      <c r="N220" s="26"/>
      <c r="O220" s="24"/>
      <c r="P220" s="27"/>
      <c r="Q220" s="24"/>
      <c r="R220" s="123"/>
    </row>
    <row r="221" spans="1:18" x14ac:dyDescent="0.35">
      <c r="A221" s="71" t="str">
        <f>IF(TRIM(G221)&lt;&gt;"",COUNTA(G$11:$G221)&amp;"","")</f>
        <v/>
      </c>
      <c r="B221" s="362"/>
      <c r="C221" s="362"/>
      <c r="D221" s="34"/>
      <c r="E221" s="259" t="s">
        <v>528</v>
      </c>
      <c r="F221" s="73"/>
      <c r="G221" s="74"/>
      <c r="H221" s="22"/>
      <c r="I221" s="51"/>
      <c r="J221" s="23"/>
      <c r="K221" s="24"/>
      <c r="L221" s="25"/>
      <c r="M221" s="26"/>
      <c r="N221" s="26"/>
      <c r="O221" s="24"/>
      <c r="P221" s="27"/>
      <c r="Q221" s="24"/>
      <c r="R221" s="123"/>
    </row>
    <row r="222" spans="1:18" x14ac:dyDescent="0.35">
      <c r="A222" s="71" t="str">
        <f>IF(TRIM(G222)&lt;&gt;"",COUNTA(G$11:$G222)&amp;"","")</f>
        <v>134</v>
      </c>
      <c r="B222" s="362"/>
      <c r="C222" s="362"/>
      <c r="D222" s="34"/>
      <c r="E222" s="56" t="s">
        <v>553</v>
      </c>
      <c r="F222" s="73">
        <v>10</v>
      </c>
      <c r="G222" s="74" t="s">
        <v>192</v>
      </c>
      <c r="H222" s="22">
        <v>0</v>
      </c>
      <c r="I222" s="51">
        <f t="shared" ref="I222:I223" si="309">IF(F222=0,"",F222+(F222*H222))</f>
        <v>10</v>
      </c>
      <c r="J222" s="23">
        <f>11.78*8</f>
        <v>94.24</v>
      </c>
      <c r="K222" s="24">
        <f t="shared" ref="K222:K223" si="310">IF(F222=0,"",J222*I222)</f>
        <v>942.4</v>
      </c>
      <c r="L222" s="25">
        <f t="shared" ref="L222:L223" si="311">$L$44</f>
        <v>78</v>
      </c>
      <c r="M222" s="26">
        <v>1.0366399999999998</v>
      </c>
      <c r="N222" s="26">
        <f t="shared" ref="N222:N223" si="312">IF(F222=0,"",M222*I222)</f>
        <v>10.366399999999999</v>
      </c>
      <c r="O222" s="24">
        <f t="shared" ref="O222:O223" si="313">IF(F222=0,"",N222*L222)</f>
        <v>808.5791999999999</v>
      </c>
      <c r="P222" s="27">
        <f t="shared" ref="P222:P223" si="314">IF(F222=0,"",(K222+O222)/I222)</f>
        <v>175.09791999999999</v>
      </c>
      <c r="Q222" s="24">
        <f t="shared" ref="Q222:Q223" si="315">IF(F222=0,"",(P222*I222))</f>
        <v>1750.9791999999998</v>
      </c>
      <c r="R222" s="123"/>
    </row>
    <row r="223" spans="1:18" x14ac:dyDescent="0.35">
      <c r="A223" s="71" t="str">
        <f>IF(TRIM(G223)&lt;&gt;"",COUNTA(G$11:$G223)&amp;"","")</f>
        <v>135</v>
      </c>
      <c r="B223" s="362"/>
      <c r="C223" s="362"/>
      <c r="D223" s="34"/>
      <c r="E223" s="56" t="s">
        <v>550</v>
      </c>
      <c r="F223" s="73">
        <v>20</v>
      </c>
      <c r="G223" s="74" t="s">
        <v>192</v>
      </c>
      <c r="H223" s="22">
        <v>0</v>
      </c>
      <c r="I223" s="51">
        <f t="shared" si="309"/>
        <v>20</v>
      </c>
      <c r="J223" s="23">
        <f>11.78*18</f>
        <v>212.04</v>
      </c>
      <c r="K223" s="24">
        <f t="shared" si="310"/>
        <v>4240.8</v>
      </c>
      <c r="L223" s="25">
        <f t="shared" si="311"/>
        <v>78</v>
      </c>
      <c r="M223" s="26">
        <v>2.3324399999999996</v>
      </c>
      <c r="N223" s="26">
        <f t="shared" si="312"/>
        <v>46.648799999999994</v>
      </c>
      <c r="O223" s="24">
        <f t="shared" si="313"/>
        <v>3638.6063999999997</v>
      </c>
      <c r="P223" s="27">
        <f t="shared" si="314"/>
        <v>393.97032000000002</v>
      </c>
      <c r="Q223" s="24">
        <f t="shared" si="315"/>
        <v>7879.4063999999998</v>
      </c>
      <c r="R223" s="123"/>
    </row>
    <row r="224" spans="1:18" x14ac:dyDescent="0.35">
      <c r="A224" s="71" t="str">
        <f>IF(TRIM(G224)&lt;&gt;"",COUNTA(G$11:$G224)&amp;"","")</f>
        <v/>
      </c>
      <c r="B224" s="362"/>
      <c r="C224" s="362"/>
      <c r="D224" s="34"/>
      <c r="E224" s="56"/>
      <c r="F224" s="73"/>
      <c r="G224" s="74"/>
      <c r="H224" s="22"/>
      <c r="I224" s="51"/>
      <c r="J224" s="23"/>
      <c r="K224" s="24"/>
      <c r="L224" s="25"/>
      <c r="M224" s="26"/>
      <c r="N224" s="26"/>
      <c r="O224" s="24"/>
      <c r="P224" s="27"/>
      <c r="Q224" s="24"/>
      <c r="R224" s="123"/>
    </row>
    <row r="225" spans="1:18" x14ac:dyDescent="0.35">
      <c r="A225" s="71" t="str">
        <f>IF(TRIM(G225)&lt;&gt;"",COUNTA(G$11:$G225)&amp;"","")</f>
        <v/>
      </c>
      <c r="B225" s="362"/>
      <c r="C225" s="362"/>
      <c r="D225" s="34"/>
      <c r="E225" s="259" t="s">
        <v>531</v>
      </c>
      <c r="F225" s="73"/>
      <c r="G225" s="74"/>
      <c r="H225" s="22"/>
      <c r="I225" s="51"/>
      <c r="J225" s="23"/>
      <c r="K225" s="24"/>
      <c r="L225" s="25"/>
      <c r="M225" s="26"/>
      <c r="N225" s="26"/>
      <c r="O225" s="24"/>
      <c r="P225" s="27"/>
      <c r="Q225" s="24"/>
      <c r="R225" s="123"/>
    </row>
    <row r="226" spans="1:18" x14ac:dyDescent="0.35">
      <c r="A226" s="71" t="str">
        <f>IF(TRIM(G226)&lt;&gt;"",COUNTA(G$11:$G226)&amp;"","")</f>
        <v>136</v>
      </c>
      <c r="B226" s="362"/>
      <c r="C226" s="362"/>
      <c r="D226" s="34"/>
      <c r="E226" s="56" t="s">
        <v>532</v>
      </c>
      <c r="F226" s="73">
        <v>33</v>
      </c>
      <c r="G226" s="74" t="s">
        <v>192</v>
      </c>
      <c r="H226" s="22">
        <v>0</v>
      </c>
      <c r="I226" s="51">
        <f t="shared" ref="I226:I227" si="316">IF(F226=0,"",F226+(F226*H226))</f>
        <v>33</v>
      </c>
      <c r="J226" s="23">
        <f>1.87*8</f>
        <v>14.96</v>
      </c>
      <c r="K226" s="24">
        <f t="shared" ref="K226:K227" si="317">IF(F226=0,"",J226*I226)</f>
        <v>493.68</v>
      </c>
      <c r="L226" s="25">
        <f t="shared" ref="L226:L227" si="318">$L$44</f>
        <v>78</v>
      </c>
      <c r="M226" s="26">
        <f>0.061*8</f>
        <v>0.48799999999999999</v>
      </c>
      <c r="N226" s="26">
        <f t="shared" ref="N226:N227" si="319">IF(F226=0,"",M226*I226)</f>
        <v>16.103999999999999</v>
      </c>
      <c r="O226" s="24">
        <f t="shared" ref="O226:O227" si="320">IF(F226=0,"",N226*L226)</f>
        <v>1256.1119999999999</v>
      </c>
      <c r="P226" s="27">
        <f t="shared" ref="P226:P227" si="321">IF(F226=0,"",(K226+O226)/I226)</f>
        <v>53.024000000000001</v>
      </c>
      <c r="Q226" s="24">
        <f t="shared" ref="Q226:Q227" si="322">IF(F226=0,"",(P226*I226))</f>
        <v>1749.7919999999999</v>
      </c>
      <c r="R226" s="123"/>
    </row>
    <row r="227" spans="1:18" x14ac:dyDescent="0.35">
      <c r="A227" s="71" t="str">
        <f>IF(TRIM(G227)&lt;&gt;"",COUNTA(G$11:$G227)&amp;"","")</f>
        <v>137</v>
      </c>
      <c r="B227" s="362"/>
      <c r="C227" s="362"/>
      <c r="D227" s="34"/>
      <c r="E227" s="56" t="s">
        <v>556</v>
      </c>
      <c r="F227" s="73">
        <v>8</v>
      </c>
      <c r="G227" s="74" t="s">
        <v>192</v>
      </c>
      <c r="H227" s="22">
        <v>0</v>
      </c>
      <c r="I227" s="51">
        <f t="shared" si="316"/>
        <v>8</v>
      </c>
      <c r="J227" s="23">
        <f>1.87*10</f>
        <v>18.700000000000003</v>
      </c>
      <c r="K227" s="24">
        <f t="shared" si="317"/>
        <v>149.60000000000002</v>
      </c>
      <c r="L227" s="25">
        <f t="shared" si="318"/>
        <v>78</v>
      </c>
      <c r="M227" s="26">
        <f>0.061*10</f>
        <v>0.61</v>
      </c>
      <c r="N227" s="26">
        <f t="shared" si="319"/>
        <v>4.88</v>
      </c>
      <c r="O227" s="24">
        <f t="shared" si="320"/>
        <v>380.64</v>
      </c>
      <c r="P227" s="27">
        <f t="shared" si="321"/>
        <v>66.28</v>
      </c>
      <c r="Q227" s="24">
        <f t="shared" si="322"/>
        <v>530.24</v>
      </c>
      <c r="R227" s="123"/>
    </row>
    <row r="228" spans="1:18" x14ac:dyDescent="0.35">
      <c r="A228" s="71" t="str">
        <f>IF(TRIM(G228)&lt;&gt;"",COUNTA(G$11:$G228)&amp;"","")</f>
        <v/>
      </c>
      <c r="B228" s="362"/>
      <c r="C228" s="362"/>
      <c r="D228" s="34"/>
      <c r="E228" s="56"/>
      <c r="F228" s="73"/>
      <c r="G228" s="74"/>
      <c r="H228" s="22"/>
      <c r="I228" s="51"/>
      <c r="J228" s="23"/>
      <c r="K228" s="24"/>
      <c r="L228" s="25"/>
      <c r="M228" s="26"/>
      <c r="N228" s="26"/>
      <c r="O228" s="24"/>
      <c r="P228" s="27"/>
      <c r="Q228" s="24"/>
      <c r="R228" s="123"/>
    </row>
    <row r="229" spans="1:18" x14ac:dyDescent="0.35">
      <c r="A229" s="71" t="str">
        <f>IF(TRIM(G229)&lt;&gt;"",COUNTA(G$11:$G229)&amp;"","")</f>
        <v>138</v>
      </c>
      <c r="B229" s="362"/>
      <c r="C229" s="362"/>
      <c r="D229" s="34"/>
      <c r="E229" s="56" t="s">
        <v>533</v>
      </c>
      <c r="F229" s="73">
        <v>15</v>
      </c>
      <c r="G229" s="74" t="s">
        <v>192</v>
      </c>
      <c r="H229" s="22">
        <v>0</v>
      </c>
      <c r="I229" s="51">
        <f t="shared" ref="I229:I230" si="323">IF(F229=0,"",F229+(F229*H229))</f>
        <v>15</v>
      </c>
      <c r="J229" s="23">
        <f>1.25*8</f>
        <v>10</v>
      </c>
      <c r="K229" s="24">
        <f t="shared" ref="K229:K230" si="324">IF(F229=0,"",J229*I229)</f>
        <v>150</v>
      </c>
      <c r="L229" s="25">
        <f>$L$44</f>
        <v>78</v>
      </c>
      <c r="M229" s="26">
        <f>0.0575*8</f>
        <v>0.46</v>
      </c>
      <c r="N229" s="26">
        <f t="shared" ref="N229:N230" si="325">IF(F229=0,"",M229*I229)</f>
        <v>6.9</v>
      </c>
      <c r="O229" s="24">
        <f t="shared" ref="O229:O230" si="326">IF(F229=0,"",N229*L229)</f>
        <v>538.20000000000005</v>
      </c>
      <c r="P229" s="27">
        <f t="shared" ref="P229:P230" si="327">IF(F229=0,"",(K229+O229)/I229)</f>
        <v>45.88</v>
      </c>
      <c r="Q229" s="24">
        <f t="shared" ref="Q229:Q230" si="328">IF(F229=0,"",(P229*I229))</f>
        <v>688.2</v>
      </c>
      <c r="R229" s="123"/>
    </row>
    <row r="230" spans="1:18" x14ac:dyDescent="0.35">
      <c r="A230" s="71" t="str">
        <f>IF(TRIM(G230)&lt;&gt;"",COUNTA(G$11:$G230)&amp;"","")</f>
        <v>139</v>
      </c>
      <c r="B230" s="362"/>
      <c r="C230" s="362"/>
      <c r="D230" s="34"/>
      <c r="E230" s="56" t="s">
        <v>557</v>
      </c>
      <c r="F230" s="73">
        <v>5</v>
      </c>
      <c r="G230" s="74" t="s">
        <v>192</v>
      </c>
      <c r="H230" s="22">
        <v>0</v>
      </c>
      <c r="I230" s="51">
        <f t="shared" si="323"/>
        <v>5</v>
      </c>
      <c r="J230" s="23">
        <f>1.25*12</f>
        <v>15</v>
      </c>
      <c r="K230" s="24">
        <f t="shared" si="324"/>
        <v>75</v>
      </c>
      <c r="L230" s="25">
        <f>$L$44</f>
        <v>78</v>
      </c>
      <c r="M230" s="26">
        <f>0.0575*12</f>
        <v>0.69000000000000006</v>
      </c>
      <c r="N230" s="26">
        <f t="shared" si="325"/>
        <v>3.45</v>
      </c>
      <c r="O230" s="24">
        <f t="shared" si="326"/>
        <v>269.10000000000002</v>
      </c>
      <c r="P230" s="27">
        <f t="shared" si="327"/>
        <v>68.820000000000007</v>
      </c>
      <c r="Q230" s="24">
        <f t="shared" si="328"/>
        <v>344.1</v>
      </c>
      <c r="R230" s="123"/>
    </row>
    <row r="231" spans="1:18" x14ac:dyDescent="0.35">
      <c r="A231" s="71" t="str">
        <f>IF(TRIM(G231)&lt;&gt;"",COUNTA(G$11:$G231)&amp;"","")</f>
        <v/>
      </c>
      <c r="B231" s="362"/>
      <c r="C231" s="362"/>
      <c r="D231" s="34"/>
      <c r="E231" s="56"/>
      <c r="F231" s="73"/>
      <c r="G231" s="74"/>
      <c r="H231" s="22"/>
      <c r="I231" s="51"/>
      <c r="J231" s="23"/>
      <c r="K231" s="24"/>
      <c r="L231" s="25"/>
      <c r="M231" s="26"/>
      <c r="N231" s="26"/>
      <c r="O231" s="24"/>
      <c r="P231" s="27"/>
      <c r="Q231" s="24"/>
      <c r="R231" s="123"/>
    </row>
    <row r="232" spans="1:18" x14ac:dyDescent="0.35">
      <c r="A232" s="71" t="str">
        <f>IF(TRIM(G232)&lt;&gt;"",COUNTA(G$11:$G232)&amp;"","")</f>
        <v/>
      </c>
      <c r="B232" s="362"/>
      <c r="C232" s="362"/>
      <c r="D232" s="34"/>
      <c r="E232" s="56"/>
      <c r="F232" s="73"/>
      <c r="G232" s="74"/>
      <c r="H232" s="22"/>
      <c r="I232" s="51"/>
      <c r="J232" s="23"/>
      <c r="K232" s="24"/>
      <c r="L232" s="25"/>
      <c r="M232" s="26"/>
      <c r="N232" s="26"/>
      <c r="O232" s="24"/>
      <c r="P232" s="27"/>
      <c r="Q232" s="24"/>
      <c r="R232" s="123"/>
    </row>
    <row r="233" spans="1:18" x14ac:dyDescent="0.35">
      <c r="A233" s="71" t="str">
        <f>IF(TRIM(G233)&lt;&gt;"",COUNTA(G$11:$G233)&amp;"","")</f>
        <v/>
      </c>
      <c r="B233" s="362"/>
      <c r="C233" s="362"/>
      <c r="D233" s="34"/>
      <c r="E233" s="259" t="s">
        <v>535</v>
      </c>
      <c r="F233" s="73"/>
      <c r="G233" s="74"/>
      <c r="H233" s="22"/>
      <c r="I233" s="51"/>
      <c r="J233" s="23"/>
      <c r="K233" s="24"/>
      <c r="L233" s="25"/>
      <c r="M233" s="26"/>
      <c r="N233" s="26"/>
      <c r="O233" s="24"/>
      <c r="P233" s="27"/>
      <c r="Q233" s="24"/>
      <c r="R233" s="123"/>
    </row>
    <row r="234" spans="1:18" x14ac:dyDescent="0.35">
      <c r="A234" s="71" t="str">
        <f>IF(TRIM(G234)&lt;&gt;"",COUNTA(G$11:$G234)&amp;"","")</f>
        <v>140</v>
      </c>
      <c r="B234" s="362"/>
      <c r="C234" s="362"/>
      <c r="D234" s="34"/>
      <c r="E234" s="56" t="s">
        <v>580</v>
      </c>
      <c r="F234" s="73">
        <v>10</v>
      </c>
      <c r="G234" s="74" t="s">
        <v>192</v>
      </c>
      <c r="H234" s="22">
        <v>0</v>
      </c>
      <c r="I234" s="51">
        <f t="shared" ref="I234:I235" si="329">IF(F234=0,"",F234+(F234*H234))</f>
        <v>10</v>
      </c>
      <c r="J234" s="23">
        <f>(3.78/10)*8</f>
        <v>3.024</v>
      </c>
      <c r="K234" s="24">
        <f t="shared" ref="K234:K235" si="330">IF(F234=0,"",J234*I234)</f>
        <v>30.240000000000002</v>
      </c>
      <c r="L234" s="25">
        <f t="shared" ref="L234:L235" si="331">$L$44</f>
        <v>78</v>
      </c>
      <c r="M234" s="26">
        <v>3.9312E-2</v>
      </c>
      <c r="N234" s="26">
        <f t="shared" ref="N234:N235" si="332">IF(F234=0,"",M234*I234)</f>
        <v>0.39312000000000002</v>
      </c>
      <c r="O234" s="24">
        <f t="shared" ref="O234:O235" si="333">IF(F234=0,"",N234*L234)</f>
        <v>30.663360000000001</v>
      </c>
      <c r="P234" s="27">
        <f t="shared" ref="P234:P235" si="334">IF(F234=0,"",(K234+O234)/I234)</f>
        <v>6.0903360000000006</v>
      </c>
      <c r="Q234" s="24">
        <f t="shared" ref="Q234:Q235" si="335">IF(F234=0,"",(P234*I234))</f>
        <v>60.903360000000006</v>
      </c>
      <c r="R234" s="123"/>
    </row>
    <row r="235" spans="1:18" x14ac:dyDescent="0.35">
      <c r="A235" s="71" t="str">
        <f>IF(TRIM(G235)&lt;&gt;"",COUNTA(G$11:$G235)&amp;"","")</f>
        <v>141</v>
      </c>
      <c r="B235" s="362"/>
      <c r="C235" s="362"/>
      <c r="D235" s="34"/>
      <c r="E235" s="56" t="s">
        <v>579</v>
      </c>
      <c r="F235" s="73">
        <v>21</v>
      </c>
      <c r="G235" s="74" t="s">
        <v>192</v>
      </c>
      <c r="H235" s="22">
        <v>0</v>
      </c>
      <c r="I235" s="51">
        <f t="shared" si="329"/>
        <v>21</v>
      </c>
      <c r="J235" s="23">
        <f>(3.78/10)*10</f>
        <v>3.7800000000000002</v>
      </c>
      <c r="K235" s="24">
        <f t="shared" si="330"/>
        <v>79.38000000000001</v>
      </c>
      <c r="L235" s="25">
        <f t="shared" si="331"/>
        <v>78</v>
      </c>
      <c r="M235" s="26">
        <v>4.9140000000000003E-2</v>
      </c>
      <c r="N235" s="26">
        <f t="shared" si="332"/>
        <v>1.0319400000000001</v>
      </c>
      <c r="O235" s="24">
        <f t="shared" si="333"/>
        <v>80.491320000000002</v>
      </c>
      <c r="P235" s="27">
        <f t="shared" si="334"/>
        <v>7.6129200000000008</v>
      </c>
      <c r="Q235" s="24">
        <f t="shared" si="335"/>
        <v>159.87132000000003</v>
      </c>
      <c r="R235" s="123"/>
    </row>
    <row r="236" spans="1:18" x14ac:dyDescent="0.35">
      <c r="A236" s="71" t="str">
        <f>IF(TRIM(G236)&lt;&gt;"",COUNTA(G$11:$G236)&amp;"","")</f>
        <v/>
      </c>
      <c r="B236" s="362"/>
      <c r="C236" s="362"/>
      <c r="D236" s="34"/>
      <c r="E236" s="56"/>
      <c r="F236" s="73"/>
      <c r="G236" s="74"/>
      <c r="H236" s="22"/>
      <c r="I236" s="51"/>
      <c r="J236" s="23"/>
      <c r="K236" s="24"/>
      <c r="L236" s="25"/>
      <c r="M236" s="26"/>
      <c r="N236" s="26"/>
      <c r="O236" s="24"/>
      <c r="P236" s="27"/>
      <c r="Q236" s="24"/>
      <c r="R236" s="123"/>
    </row>
    <row r="237" spans="1:18" x14ac:dyDescent="0.35">
      <c r="A237" s="71" t="str">
        <f>IF(TRIM(G237)&lt;&gt;"",COUNTA(G$11:$G237)&amp;"","")</f>
        <v>142</v>
      </c>
      <c r="B237" s="362"/>
      <c r="C237" s="362"/>
      <c r="D237" s="34"/>
      <c r="E237" s="259" t="s">
        <v>581</v>
      </c>
      <c r="F237" s="255">
        <v>1490.7</v>
      </c>
      <c r="G237" s="260" t="s">
        <v>141</v>
      </c>
      <c r="H237" s="22"/>
      <c r="I237" s="51"/>
      <c r="J237" s="23"/>
      <c r="K237" s="24"/>
      <c r="L237" s="25"/>
      <c r="M237" s="26"/>
      <c r="N237" s="26"/>
      <c r="O237" s="24"/>
      <c r="P237" s="27"/>
      <c r="Q237" s="24"/>
      <c r="R237" s="123"/>
    </row>
    <row r="238" spans="1:18" x14ac:dyDescent="0.35">
      <c r="A238" s="71" t="str">
        <f>IF(TRIM(G238)&lt;&gt;"",COUNTA(G$11:$G238)&amp;"","")</f>
        <v>143</v>
      </c>
      <c r="B238" s="362"/>
      <c r="C238" s="362"/>
      <c r="D238" s="34"/>
      <c r="E238" s="56" t="s">
        <v>583</v>
      </c>
      <c r="F238" s="73">
        <v>5</v>
      </c>
      <c r="G238" s="74" t="s">
        <v>192</v>
      </c>
      <c r="H238" s="22">
        <v>0</v>
      </c>
      <c r="I238" s="51">
        <f t="shared" ref="I238:I240" si="336">IF(F238=0,"",F238+(F238*H238))</f>
        <v>5</v>
      </c>
      <c r="J238" s="23">
        <f>6.58*10</f>
        <v>65.8</v>
      </c>
      <c r="K238" s="24">
        <f t="shared" ref="K238:K240" si="337">IF(F238=0,"",J238*I238)</f>
        <v>329</v>
      </c>
      <c r="L238" s="25">
        <f t="shared" ref="L238:L240" si="338">$L$44</f>
        <v>78</v>
      </c>
      <c r="M238" s="26">
        <v>0.72379999999999989</v>
      </c>
      <c r="N238" s="26">
        <f t="shared" ref="N238:N240" si="339">IF(F238=0,"",M238*I238)</f>
        <v>3.6189999999999993</v>
      </c>
      <c r="O238" s="24">
        <f t="shared" ref="O238:O240" si="340">IF(F238=0,"",N238*L238)</f>
        <v>282.28199999999993</v>
      </c>
      <c r="P238" s="27">
        <f t="shared" ref="P238:P240" si="341">IF(F238=0,"",(K238+O238)/I238)</f>
        <v>122.25639999999999</v>
      </c>
      <c r="Q238" s="24">
        <f t="shared" ref="Q238:Q240" si="342">IF(F238=0,"",(P238*I238))</f>
        <v>611.28199999999993</v>
      </c>
      <c r="R238" s="123"/>
    </row>
    <row r="239" spans="1:18" x14ac:dyDescent="0.35">
      <c r="A239" s="71" t="str">
        <f>IF(TRIM(G239)&lt;&gt;"",COUNTA(G$11:$G239)&amp;"","")</f>
        <v>144</v>
      </c>
      <c r="B239" s="362"/>
      <c r="C239" s="362"/>
      <c r="D239" s="34"/>
      <c r="E239" s="56" t="s">
        <v>584</v>
      </c>
      <c r="F239" s="73">
        <v>20</v>
      </c>
      <c r="G239" s="74" t="s">
        <v>192</v>
      </c>
      <c r="H239" s="22">
        <v>0</v>
      </c>
      <c r="I239" s="51">
        <f t="shared" si="336"/>
        <v>20</v>
      </c>
      <c r="J239" s="23">
        <f>6.58*16</f>
        <v>105.28</v>
      </c>
      <c r="K239" s="24">
        <f t="shared" si="337"/>
        <v>2105.6</v>
      </c>
      <c r="L239" s="25">
        <f t="shared" si="338"/>
        <v>78</v>
      </c>
      <c r="M239" s="26">
        <v>1.15808</v>
      </c>
      <c r="N239" s="26">
        <f t="shared" si="339"/>
        <v>23.1616</v>
      </c>
      <c r="O239" s="24">
        <f t="shared" si="340"/>
        <v>1806.6048000000001</v>
      </c>
      <c r="P239" s="27">
        <f t="shared" si="341"/>
        <v>195.61024</v>
      </c>
      <c r="Q239" s="24">
        <f t="shared" si="342"/>
        <v>3912.2048</v>
      </c>
      <c r="R239" s="123"/>
    </row>
    <row r="240" spans="1:18" x14ac:dyDescent="0.35">
      <c r="A240" s="71" t="str">
        <f>IF(TRIM(G240)&lt;&gt;"",COUNTA(G$11:$G240)&amp;"","")</f>
        <v>145</v>
      </c>
      <c r="B240" s="362"/>
      <c r="C240" s="362"/>
      <c r="D240" s="34"/>
      <c r="E240" s="56" t="s">
        <v>582</v>
      </c>
      <c r="F240" s="73">
        <f>35+2</f>
        <v>37</v>
      </c>
      <c r="G240" s="74" t="s">
        <v>192</v>
      </c>
      <c r="H240" s="22">
        <v>0</v>
      </c>
      <c r="I240" s="51">
        <f t="shared" si="336"/>
        <v>37</v>
      </c>
      <c r="J240" s="23">
        <f>6.58*20</f>
        <v>131.6</v>
      </c>
      <c r="K240" s="24">
        <f t="shared" si="337"/>
        <v>4869.2</v>
      </c>
      <c r="L240" s="25">
        <f t="shared" si="338"/>
        <v>78</v>
      </c>
      <c r="M240" s="26">
        <v>1.4475999999999998</v>
      </c>
      <c r="N240" s="26">
        <f t="shared" si="339"/>
        <v>53.561199999999992</v>
      </c>
      <c r="O240" s="24">
        <f t="shared" si="340"/>
        <v>4177.7735999999995</v>
      </c>
      <c r="P240" s="27">
        <f t="shared" si="341"/>
        <v>244.51279999999997</v>
      </c>
      <c r="Q240" s="24">
        <f t="shared" si="342"/>
        <v>9046.9735999999994</v>
      </c>
      <c r="R240" s="123"/>
    </row>
    <row r="241" spans="1:18" x14ac:dyDescent="0.35">
      <c r="A241" s="71" t="str">
        <f>IF(TRIM(G241)&lt;&gt;"",COUNTA(G$11:$G241)&amp;"","")</f>
        <v/>
      </c>
      <c r="B241" s="362"/>
      <c r="C241" s="362"/>
      <c r="D241" s="34"/>
      <c r="E241" s="56"/>
      <c r="F241" s="73"/>
      <c r="G241" s="74"/>
      <c r="H241" s="22"/>
      <c r="I241" s="51"/>
      <c r="J241" s="23"/>
      <c r="K241" s="24"/>
      <c r="L241" s="25"/>
      <c r="M241" s="26"/>
      <c r="N241" s="26"/>
      <c r="O241" s="24"/>
      <c r="P241" s="27"/>
      <c r="Q241" s="24"/>
      <c r="R241" s="123"/>
    </row>
    <row r="242" spans="1:18" x14ac:dyDescent="0.35">
      <c r="A242" s="71" t="str">
        <f>IF(TRIM(G242)&lt;&gt;"",COUNTA(G$11:$G242)&amp;"","")</f>
        <v>146</v>
      </c>
      <c r="B242" s="362"/>
      <c r="C242" s="362"/>
      <c r="D242" s="34"/>
      <c r="E242" s="259" t="s">
        <v>585</v>
      </c>
      <c r="F242" s="255">
        <v>713.25</v>
      </c>
      <c r="G242" s="260" t="s">
        <v>141</v>
      </c>
      <c r="H242" s="22"/>
      <c r="I242" s="51"/>
      <c r="J242" s="23"/>
      <c r="K242" s="24"/>
      <c r="L242" s="25"/>
      <c r="M242" s="26"/>
      <c r="N242" s="26"/>
      <c r="O242" s="24"/>
      <c r="P242" s="27"/>
      <c r="Q242" s="24"/>
      <c r="R242" s="123"/>
    </row>
    <row r="243" spans="1:18" x14ac:dyDescent="0.35">
      <c r="A243" s="71" t="str">
        <f>IF(TRIM(G243)&lt;&gt;"",COUNTA(G$11:$G243)&amp;"","")</f>
        <v>147</v>
      </c>
      <c r="B243" s="362"/>
      <c r="C243" s="362"/>
      <c r="D243" s="34"/>
      <c r="E243" s="56" t="s">
        <v>586</v>
      </c>
      <c r="F243" s="73">
        <v>1</v>
      </c>
      <c r="G243" s="74" t="s">
        <v>192</v>
      </c>
      <c r="H243" s="22">
        <v>0</v>
      </c>
      <c r="I243" s="51">
        <f t="shared" ref="I243:I244" si="343">IF(F243=0,"",F243+(F243*H243))</f>
        <v>1</v>
      </c>
      <c r="J243" s="23">
        <f>2.8*14</f>
        <v>39.199999999999996</v>
      </c>
      <c r="K243" s="24">
        <f t="shared" ref="K243:K244" si="344">IF(F243=0,"",J243*I243)</f>
        <v>39.199999999999996</v>
      </c>
      <c r="L243" s="25">
        <f t="shared" ref="L243:L244" si="345">$L$44</f>
        <v>78</v>
      </c>
      <c r="M243" s="26">
        <f>0.0711*14</f>
        <v>0.99539999999999995</v>
      </c>
      <c r="N243" s="26">
        <f t="shared" ref="N243:N244" si="346">IF(F243=0,"",M243*I243)</f>
        <v>0.99539999999999995</v>
      </c>
      <c r="O243" s="24">
        <f t="shared" ref="O243:O244" si="347">IF(F243=0,"",N243*L243)</f>
        <v>77.641199999999998</v>
      </c>
      <c r="P243" s="27">
        <f t="shared" ref="P243:P244" si="348">IF(F243=0,"",(K243+O243)/I243)</f>
        <v>116.84119999999999</v>
      </c>
      <c r="Q243" s="24">
        <f t="shared" ref="Q243:Q244" si="349">IF(F243=0,"",(P243*I243))</f>
        <v>116.84119999999999</v>
      </c>
      <c r="R243" s="123"/>
    </row>
    <row r="244" spans="1:18" x14ac:dyDescent="0.35">
      <c r="A244" s="71" t="str">
        <f>IF(TRIM(G244)&lt;&gt;"",COUNTA(G$11:$G244)&amp;"","")</f>
        <v>148</v>
      </c>
      <c r="B244" s="362"/>
      <c r="C244" s="362"/>
      <c r="D244" s="34"/>
      <c r="E244" s="56" t="s">
        <v>587</v>
      </c>
      <c r="F244" s="73">
        <v>29</v>
      </c>
      <c r="G244" s="74" t="s">
        <v>192</v>
      </c>
      <c r="H244" s="22">
        <v>0</v>
      </c>
      <c r="I244" s="51">
        <f t="shared" si="343"/>
        <v>29</v>
      </c>
      <c r="J244" s="23">
        <f>2.8*20</f>
        <v>56</v>
      </c>
      <c r="K244" s="24">
        <f t="shared" si="344"/>
        <v>1624</v>
      </c>
      <c r="L244" s="25">
        <f t="shared" si="345"/>
        <v>78</v>
      </c>
      <c r="M244" s="26">
        <f>0.0711*20</f>
        <v>1.4219999999999999</v>
      </c>
      <c r="N244" s="26">
        <f t="shared" si="346"/>
        <v>41.238</v>
      </c>
      <c r="O244" s="24">
        <f t="shared" si="347"/>
        <v>3216.5639999999999</v>
      </c>
      <c r="P244" s="27">
        <f t="shared" si="348"/>
        <v>166.916</v>
      </c>
      <c r="Q244" s="24">
        <f t="shared" si="349"/>
        <v>4840.5640000000003</v>
      </c>
      <c r="R244" s="123"/>
    </row>
    <row r="245" spans="1:18" x14ac:dyDescent="0.35">
      <c r="A245" s="71" t="str">
        <f>IF(TRIM(G245)&lt;&gt;"",COUNTA(G$11:$G245)&amp;"","")</f>
        <v/>
      </c>
      <c r="B245" s="362"/>
      <c r="C245" s="362"/>
      <c r="D245" s="34"/>
      <c r="E245" s="56"/>
      <c r="F245" s="73"/>
      <c r="G245" s="74"/>
      <c r="H245" s="22"/>
      <c r="I245" s="51"/>
      <c r="J245" s="23"/>
      <c r="K245" s="24"/>
      <c r="L245" s="25"/>
      <c r="M245" s="26"/>
      <c r="N245" s="26"/>
      <c r="O245" s="24"/>
      <c r="P245" s="27"/>
      <c r="Q245" s="24"/>
      <c r="R245" s="123"/>
    </row>
    <row r="246" spans="1:18" x14ac:dyDescent="0.35">
      <c r="A246" s="71" t="str">
        <f>IF(TRIM(G246)&lt;&gt;"",COUNTA(G$11:$G246)&amp;"","")</f>
        <v/>
      </c>
      <c r="B246" s="362"/>
      <c r="C246" s="362"/>
      <c r="D246" s="34"/>
      <c r="E246" s="259" t="s">
        <v>566</v>
      </c>
      <c r="F246" s="73"/>
      <c r="G246" s="74"/>
      <c r="H246" s="22"/>
      <c r="I246" s="51"/>
      <c r="J246" s="23"/>
      <c r="K246" s="24"/>
      <c r="L246" s="25"/>
      <c r="M246" s="26"/>
      <c r="N246" s="26"/>
      <c r="O246" s="24"/>
      <c r="P246" s="27"/>
      <c r="Q246" s="24"/>
      <c r="R246" s="123"/>
    </row>
    <row r="247" spans="1:18" x14ac:dyDescent="0.35">
      <c r="A247" s="71" t="str">
        <f>IF(TRIM(G247)&lt;&gt;"",COUNTA(G$11:$G247)&amp;"","")</f>
        <v>149</v>
      </c>
      <c r="B247" s="362"/>
      <c r="C247" s="362"/>
      <c r="D247" s="34"/>
      <c r="E247" s="56" t="s">
        <v>567</v>
      </c>
      <c r="F247" s="73">
        <f>401.75/16</f>
        <v>25.109375</v>
      </c>
      <c r="G247" s="74" t="s">
        <v>192</v>
      </c>
      <c r="H247" s="22">
        <v>0</v>
      </c>
      <c r="I247" s="51">
        <f t="shared" ref="I247:I248" si="350">IF(F247=0,"",F247+(F247*H247))</f>
        <v>25.109375</v>
      </c>
      <c r="J247" s="23">
        <f>2.8*16</f>
        <v>44.8</v>
      </c>
      <c r="K247" s="24">
        <f t="shared" ref="K247" si="351">IF(F247=0,"",J247*I247)</f>
        <v>1124.8999999999999</v>
      </c>
      <c r="L247" s="25">
        <f t="shared" ref="L247:L248" si="352">$L$44</f>
        <v>78</v>
      </c>
      <c r="M247" s="26">
        <f>0.0711*16</f>
        <v>1.1375999999999999</v>
      </c>
      <c r="N247" s="26">
        <f t="shared" ref="N247:N248" si="353">IF(F247=0,"",M247*I247)</f>
        <v>28.564425</v>
      </c>
      <c r="O247" s="24">
        <f t="shared" ref="O247:O248" si="354">IF(F247=0,"",N247*L247)</f>
        <v>2228.0251499999999</v>
      </c>
      <c r="P247" s="27">
        <f t="shared" ref="P247:P248" si="355">IF(F247=0,"",(K247+O247)/I247)</f>
        <v>133.53280000000001</v>
      </c>
      <c r="Q247" s="24">
        <f t="shared" ref="Q247:Q248" si="356">IF(F247=0,"",(P247*I247))</f>
        <v>3352.92515</v>
      </c>
      <c r="R247" s="123"/>
    </row>
    <row r="248" spans="1:18" x14ac:dyDescent="0.35">
      <c r="A248" s="71" t="str">
        <f>IF(TRIM(G248)&lt;&gt;"",COUNTA(G$11:$G248)&amp;"","")</f>
        <v>150</v>
      </c>
      <c r="B248" s="362"/>
      <c r="C248" s="362"/>
      <c r="D248" s="34"/>
      <c r="E248" s="56" t="s">
        <v>589</v>
      </c>
      <c r="F248" s="73">
        <f>169.35/16</f>
        <v>10.584375</v>
      </c>
      <c r="G248" s="74" t="s">
        <v>192</v>
      </c>
      <c r="H248" s="22">
        <v>0</v>
      </c>
      <c r="I248" s="51">
        <f t="shared" si="350"/>
        <v>10.584375</v>
      </c>
      <c r="J248" s="23">
        <f>2.8*16</f>
        <v>44.8</v>
      </c>
      <c r="K248" s="24">
        <f t="shared" ref="K248" si="357">IF(F248=0,"",J248*I248)</f>
        <v>474.17999999999995</v>
      </c>
      <c r="L248" s="25">
        <f t="shared" si="352"/>
        <v>78</v>
      </c>
      <c r="M248" s="26">
        <f>0.0711*16</f>
        <v>1.1375999999999999</v>
      </c>
      <c r="N248" s="26">
        <f t="shared" si="353"/>
        <v>12.040785</v>
      </c>
      <c r="O248" s="24">
        <f t="shared" si="354"/>
        <v>939.18122999999991</v>
      </c>
      <c r="P248" s="27">
        <f t="shared" si="355"/>
        <v>133.53280000000001</v>
      </c>
      <c r="Q248" s="24">
        <f t="shared" si="356"/>
        <v>1413.36123</v>
      </c>
      <c r="R248" s="123"/>
    </row>
    <row r="249" spans="1:18" x14ac:dyDescent="0.35">
      <c r="A249" s="71" t="str">
        <f>IF(TRIM(G249)&lt;&gt;"",COUNTA(G$11:$G249)&amp;"","")</f>
        <v/>
      </c>
      <c r="B249" s="362"/>
      <c r="C249" s="362"/>
      <c r="D249" s="34"/>
      <c r="E249" s="56"/>
      <c r="F249" s="73"/>
      <c r="G249" s="74"/>
      <c r="H249" s="22"/>
      <c r="I249" s="51"/>
      <c r="J249" s="23"/>
      <c r="K249" s="24"/>
      <c r="L249" s="25"/>
      <c r="M249" s="26"/>
      <c r="N249" s="26"/>
      <c r="O249" s="24"/>
      <c r="P249" s="27"/>
      <c r="Q249" s="24"/>
      <c r="R249" s="123"/>
    </row>
    <row r="250" spans="1:18" x14ac:dyDescent="0.35">
      <c r="A250" s="71" t="str">
        <f>IF(TRIM(G250)&lt;&gt;"",COUNTA(G$11:$G250)&amp;"","")</f>
        <v/>
      </c>
      <c r="B250" s="362"/>
      <c r="C250" s="362"/>
      <c r="D250" s="34"/>
      <c r="E250" s="259" t="s">
        <v>588</v>
      </c>
      <c r="F250" s="73"/>
      <c r="G250" s="74"/>
      <c r="H250" s="22"/>
      <c r="I250" s="51"/>
      <c r="J250" s="23"/>
      <c r="K250" s="24"/>
      <c r="L250" s="25"/>
      <c r="M250" s="26"/>
      <c r="N250" s="26"/>
      <c r="O250" s="24"/>
      <c r="P250" s="27"/>
      <c r="Q250" s="24"/>
      <c r="R250" s="123"/>
    </row>
    <row r="251" spans="1:18" x14ac:dyDescent="0.35">
      <c r="A251" s="71" t="str">
        <f>IF(TRIM(G251)&lt;&gt;"",COUNTA(G$11:$G251)&amp;"","")</f>
        <v>151</v>
      </c>
      <c r="B251" s="310"/>
      <c r="C251" s="310"/>
      <c r="D251" s="34"/>
      <c r="E251" s="56" t="s">
        <v>589</v>
      </c>
      <c r="F251" s="73">
        <f>91.35/16</f>
        <v>5.7093749999999996</v>
      </c>
      <c r="G251" s="74" t="s">
        <v>192</v>
      </c>
      <c r="H251" s="22">
        <v>0</v>
      </c>
      <c r="I251" s="51">
        <f t="shared" ref="I251" si="358">IF(F251=0,"",F251+(F251*H251))</f>
        <v>5.7093749999999996</v>
      </c>
      <c r="J251" s="23">
        <f>2.8*16</f>
        <v>44.8</v>
      </c>
      <c r="K251" s="24">
        <f t="shared" ref="K251" si="359">IF(F251=0,"",J251*I251)</f>
        <v>255.77999999999997</v>
      </c>
      <c r="L251" s="25">
        <f t="shared" ref="L251" si="360">$L$44</f>
        <v>78</v>
      </c>
      <c r="M251" s="26">
        <f>0.0711*16</f>
        <v>1.1375999999999999</v>
      </c>
      <c r="N251" s="26">
        <f t="shared" ref="N251" si="361">IF(F251=0,"",M251*I251)</f>
        <v>6.4949849999999989</v>
      </c>
      <c r="O251" s="24">
        <f t="shared" ref="O251" si="362">IF(F251=0,"",N251*L251)</f>
        <v>506.6088299999999</v>
      </c>
      <c r="P251" s="27">
        <f t="shared" ref="P251" si="363">IF(F251=0,"",(K251+O251)/I251)</f>
        <v>133.53279999999998</v>
      </c>
      <c r="Q251" s="24">
        <f t="shared" ref="Q251" si="364">IF(F251=0,"",(P251*I251))</f>
        <v>762.38882999999987</v>
      </c>
      <c r="R251" s="123"/>
    </row>
    <row r="252" spans="1:18" x14ac:dyDescent="0.35">
      <c r="A252" s="71" t="str">
        <f>IF(TRIM(G252)&lt;&gt;"",COUNTA(G$11:$G252)&amp;"","")</f>
        <v/>
      </c>
      <c r="B252" s="75"/>
      <c r="C252" s="75"/>
      <c r="D252" s="34"/>
      <c r="E252" s="56"/>
      <c r="F252" s="73"/>
      <c r="G252" s="74"/>
      <c r="H252" s="22"/>
      <c r="I252" s="51"/>
      <c r="J252" s="23"/>
      <c r="K252" s="24"/>
      <c r="L252" s="25"/>
      <c r="M252" s="26"/>
      <c r="N252" s="26"/>
      <c r="O252" s="24"/>
      <c r="P252" s="27"/>
      <c r="Q252" s="24"/>
      <c r="R252" s="123"/>
    </row>
    <row r="253" spans="1:18" x14ac:dyDescent="0.35">
      <c r="A253" s="71" t="str">
        <f>IF(TRIM(G253)&lt;&gt;"",COUNTA(G$11:$G253)&amp;"","")</f>
        <v/>
      </c>
      <c r="B253" s="75"/>
      <c r="C253" s="75"/>
      <c r="D253" s="34"/>
      <c r="E253" s="268" t="s">
        <v>591</v>
      </c>
      <c r="F253" s="73"/>
      <c r="G253" s="74"/>
      <c r="H253" s="22"/>
      <c r="I253" s="51"/>
      <c r="J253" s="23"/>
      <c r="K253" s="24"/>
      <c r="L253" s="25"/>
      <c r="M253" s="26"/>
      <c r="N253" s="26"/>
      <c r="O253" s="24"/>
      <c r="P253" s="27"/>
      <c r="Q253" s="24"/>
      <c r="R253" s="123"/>
    </row>
    <row r="254" spans="1:18" x14ac:dyDescent="0.35">
      <c r="A254" s="71" t="str">
        <f>IF(TRIM(G254)&lt;&gt;"",COUNTA(G$11:$G254)&amp;"","")</f>
        <v>152</v>
      </c>
      <c r="B254" s="75"/>
      <c r="C254" s="75"/>
      <c r="D254" s="34"/>
      <c r="E254" s="259" t="s">
        <v>590</v>
      </c>
      <c r="F254" s="255">
        <v>1705.9</v>
      </c>
      <c r="G254" s="260" t="s">
        <v>141</v>
      </c>
      <c r="H254" s="22"/>
      <c r="I254" s="51"/>
      <c r="J254" s="23"/>
      <c r="K254" s="24"/>
      <c r="L254" s="25"/>
      <c r="M254" s="26"/>
      <c r="N254" s="26"/>
      <c r="O254" s="24"/>
      <c r="P254" s="27"/>
      <c r="Q254" s="24"/>
      <c r="R254" s="123"/>
    </row>
    <row r="255" spans="1:18" x14ac:dyDescent="0.35">
      <c r="A255" s="71" t="str">
        <f>IF(TRIM(G255)&lt;&gt;"",COUNTA(G$11:$G255)&amp;"","")</f>
        <v>153</v>
      </c>
      <c r="B255" s="75" t="s">
        <v>609</v>
      </c>
      <c r="C255" s="75" t="s">
        <v>609</v>
      </c>
      <c r="D255" s="34"/>
      <c r="E255" s="56" t="s">
        <v>562</v>
      </c>
      <c r="F255" s="73">
        <v>5</v>
      </c>
      <c r="G255" s="74" t="s">
        <v>192</v>
      </c>
      <c r="H255" s="22">
        <v>0</v>
      </c>
      <c r="I255" s="51">
        <f t="shared" ref="I255:I256" si="365">IF(F255=0,"",F255+(F255*H255))</f>
        <v>5</v>
      </c>
      <c r="J255" s="23">
        <f>4.18*10</f>
        <v>41.8</v>
      </c>
      <c r="K255" s="24">
        <f t="shared" ref="K255" si="366">IF(F255=0,"",J255*I255)</f>
        <v>209</v>
      </c>
      <c r="L255" s="25">
        <f t="shared" ref="L255" si="367">$L$44</f>
        <v>78</v>
      </c>
      <c r="M255" s="26">
        <v>0.54339999999999988</v>
      </c>
      <c r="N255" s="26">
        <f t="shared" ref="N255:N256" si="368">IF(F255=0,"",M255*I255)</f>
        <v>2.7169999999999996</v>
      </c>
      <c r="O255" s="24">
        <f t="shared" ref="O255:O256" si="369">IF(F255=0,"",N255*L255)</f>
        <v>211.92599999999996</v>
      </c>
      <c r="P255" s="27">
        <f t="shared" ref="P255:P256" si="370">IF(F255=0,"",(K255+O255)/I255)</f>
        <v>84.18519999999998</v>
      </c>
      <c r="Q255" s="24">
        <f t="shared" ref="Q255:Q256" si="371">IF(F255=0,"",(P255*I255))</f>
        <v>420.92599999999993</v>
      </c>
      <c r="R255" s="123"/>
    </row>
    <row r="256" spans="1:18" x14ac:dyDescent="0.35">
      <c r="A256" s="71" t="str">
        <f>IF(TRIM(G256)&lt;&gt;"",COUNTA(G$11:$G256)&amp;"","")</f>
        <v>154</v>
      </c>
      <c r="B256" s="75" t="s">
        <v>609</v>
      </c>
      <c r="C256" s="75" t="s">
        <v>609</v>
      </c>
      <c r="D256" s="34"/>
      <c r="E256" s="56" t="s">
        <v>559</v>
      </c>
      <c r="F256" s="73">
        <v>66</v>
      </c>
      <c r="G256" s="74" t="s">
        <v>192</v>
      </c>
      <c r="H256" s="22">
        <v>0</v>
      </c>
      <c r="I256" s="51">
        <f t="shared" si="365"/>
        <v>66</v>
      </c>
      <c r="J256" s="23">
        <f>4.18*18</f>
        <v>75.239999999999995</v>
      </c>
      <c r="K256" s="24">
        <f t="shared" ref="K256" si="372">IF(F256=0,"",J256*I256)</f>
        <v>4965.8399999999992</v>
      </c>
      <c r="L256" s="25">
        <f>$L$44</f>
        <v>78</v>
      </c>
      <c r="M256" s="26">
        <v>0.97811999999999988</v>
      </c>
      <c r="N256" s="26">
        <f t="shared" si="368"/>
        <v>64.555919999999986</v>
      </c>
      <c r="O256" s="24">
        <f t="shared" si="369"/>
        <v>5035.3617599999989</v>
      </c>
      <c r="P256" s="27">
        <f t="shared" si="370"/>
        <v>151.53335999999996</v>
      </c>
      <c r="Q256" s="24">
        <f t="shared" si="371"/>
        <v>10001.201759999998</v>
      </c>
      <c r="R256" s="123"/>
    </row>
    <row r="257" spans="1:18" x14ac:dyDescent="0.35">
      <c r="A257" s="71" t="str">
        <f>IF(TRIM(G257)&lt;&gt;"",COUNTA(G$11:$G257)&amp;"","")</f>
        <v/>
      </c>
      <c r="B257" s="75"/>
      <c r="C257" s="75"/>
      <c r="D257" s="34"/>
      <c r="E257" s="56"/>
      <c r="F257" s="73"/>
      <c r="G257" s="74"/>
      <c r="H257" s="22"/>
      <c r="I257" s="51"/>
      <c r="J257" s="23"/>
      <c r="K257" s="24"/>
      <c r="L257" s="25"/>
      <c r="M257" s="26"/>
      <c r="N257" s="26"/>
      <c r="O257" s="24"/>
      <c r="P257" s="27"/>
      <c r="Q257" s="24"/>
      <c r="R257" s="123"/>
    </row>
    <row r="258" spans="1:18" x14ac:dyDescent="0.35">
      <c r="A258" s="71" t="str">
        <f>IF(TRIM(G258)&lt;&gt;"",COUNTA(G$11:$G258)&amp;"","")</f>
        <v/>
      </c>
      <c r="B258" s="75"/>
      <c r="C258" s="75"/>
      <c r="D258" s="34"/>
      <c r="E258" s="268" t="s">
        <v>594</v>
      </c>
      <c r="F258" s="73"/>
      <c r="G258" s="74"/>
      <c r="H258" s="22"/>
      <c r="I258" s="51"/>
      <c r="J258" s="23"/>
      <c r="K258" s="24"/>
      <c r="L258" s="25"/>
      <c r="M258" s="26"/>
      <c r="N258" s="26"/>
      <c r="O258" s="24"/>
      <c r="P258" s="27"/>
      <c r="Q258" s="24"/>
      <c r="R258" s="123"/>
    </row>
    <row r="259" spans="1:18" x14ac:dyDescent="0.35">
      <c r="A259" s="71" t="str">
        <f>IF(TRIM(G259)&lt;&gt;"",COUNTA(G$11:$G259)&amp;"","")</f>
        <v/>
      </c>
      <c r="B259" s="75" t="s">
        <v>610</v>
      </c>
      <c r="C259" s="75" t="s">
        <v>610</v>
      </c>
      <c r="D259" s="34"/>
      <c r="E259" s="259" t="s">
        <v>595</v>
      </c>
      <c r="F259" s="73"/>
      <c r="G259" s="74"/>
      <c r="H259" s="22"/>
      <c r="I259" s="51"/>
      <c r="J259" s="23"/>
      <c r="K259" s="24"/>
      <c r="L259" s="25"/>
      <c r="M259" s="26"/>
      <c r="N259" s="26"/>
      <c r="O259" s="24"/>
      <c r="P259" s="27"/>
      <c r="Q259" s="24"/>
      <c r="R259" s="123"/>
    </row>
    <row r="260" spans="1:18" x14ac:dyDescent="0.35">
      <c r="A260" s="71" t="str">
        <f>IF(TRIM(G260)&lt;&gt;"",COUNTA(G$11:$G260)&amp;"","")</f>
        <v>155</v>
      </c>
      <c r="B260" s="75"/>
      <c r="C260" s="75"/>
      <c r="D260" s="34"/>
      <c r="E260" s="56" t="s">
        <v>596</v>
      </c>
      <c r="F260" s="73">
        <f>(43*3)/16</f>
        <v>8.0625</v>
      </c>
      <c r="G260" s="74" t="s">
        <v>192</v>
      </c>
      <c r="H260" s="22">
        <v>0.05</v>
      </c>
      <c r="I260" s="51">
        <f t="shared" ref="I260" si="373">IF(F260=0,"",F260+(F260*H260))</f>
        <v>8.4656249999999993</v>
      </c>
      <c r="J260" s="23">
        <f>2.8*16</f>
        <v>44.8</v>
      </c>
      <c r="K260" s="24">
        <f t="shared" ref="K260" si="374">IF(F260=0,"",J260*I260)</f>
        <v>379.25999999999993</v>
      </c>
      <c r="L260" s="25">
        <f t="shared" ref="L260" si="375">$L$44</f>
        <v>78</v>
      </c>
      <c r="M260" s="26">
        <f>0.0711*16</f>
        <v>1.1375999999999999</v>
      </c>
      <c r="N260" s="26">
        <f t="shared" ref="N260" si="376">IF(F260=0,"",M260*I260)</f>
        <v>9.630494999999998</v>
      </c>
      <c r="O260" s="24">
        <f t="shared" ref="O260" si="377">IF(F260=0,"",N260*L260)</f>
        <v>751.17860999999982</v>
      </c>
      <c r="P260" s="27">
        <f t="shared" ref="P260" si="378">IF(F260=0,"",(K260+O260)/I260)</f>
        <v>133.53279999999998</v>
      </c>
      <c r="Q260" s="24">
        <f t="shared" ref="Q260" si="379">IF(F260=0,"",(P260*I260))</f>
        <v>1130.4386099999997</v>
      </c>
      <c r="R260" s="123"/>
    </row>
    <row r="261" spans="1:18" x14ac:dyDescent="0.35">
      <c r="A261" s="71" t="str">
        <f>IF(TRIM(G261)&lt;&gt;"",COUNTA(G$11:$G261)&amp;"","")</f>
        <v/>
      </c>
      <c r="B261" s="75"/>
      <c r="C261" s="75"/>
      <c r="D261" s="34"/>
      <c r="E261" s="56"/>
      <c r="F261" s="73"/>
      <c r="G261" s="74"/>
      <c r="H261" s="22"/>
      <c r="I261" s="51"/>
      <c r="J261" s="23"/>
      <c r="K261" s="24"/>
      <c r="L261" s="25"/>
      <c r="M261" s="26"/>
      <c r="N261" s="26"/>
      <c r="O261" s="24"/>
      <c r="P261" s="27"/>
      <c r="Q261" s="24"/>
      <c r="R261" s="123"/>
    </row>
    <row r="262" spans="1:18" x14ac:dyDescent="0.35">
      <c r="A262" s="71" t="str">
        <f>IF(TRIM(G262)&lt;&gt;"",COUNTA(G$11:$G262)&amp;"","")</f>
        <v/>
      </c>
      <c r="B262" s="75"/>
      <c r="C262" s="75"/>
      <c r="D262" s="34"/>
      <c r="E262" s="259" t="s">
        <v>597</v>
      </c>
      <c r="F262" s="73"/>
      <c r="G262" s="74"/>
      <c r="H262" s="22"/>
      <c r="I262" s="51"/>
      <c r="J262" s="23"/>
      <c r="K262" s="24"/>
      <c r="L262" s="25"/>
      <c r="M262" s="26"/>
      <c r="N262" s="26"/>
      <c r="O262" s="24"/>
      <c r="P262" s="27"/>
      <c r="Q262" s="24"/>
      <c r="R262" s="123"/>
    </row>
    <row r="263" spans="1:18" x14ac:dyDescent="0.35">
      <c r="A263" s="71" t="str">
        <f>IF(TRIM(G263)&lt;&gt;"",COUNTA(G$11:$G263)&amp;"","")</f>
        <v>156</v>
      </c>
      <c r="B263" s="75" t="s">
        <v>610</v>
      </c>
      <c r="C263" s="75" t="s">
        <v>610</v>
      </c>
      <c r="D263" s="34"/>
      <c r="E263" s="56" t="s">
        <v>598</v>
      </c>
      <c r="F263" s="73">
        <f>(47*3)/16</f>
        <v>8.8125</v>
      </c>
      <c r="G263" s="74" t="s">
        <v>192</v>
      </c>
      <c r="H263" s="22">
        <v>0.05</v>
      </c>
      <c r="I263" s="51">
        <f t="shared" ref="I263" si="380">IF(F263=0,"",F263+(F263*H263))</f>
        <v>9.2531250000000007</v>
      </c>
      <c r="J263" s="23">
        <f>1.25*16</f>
        <v>20</v>
      </c>
      <c r="K263" s="24">
        <f t="shared" ref="K263" si="381">IF(F263=0,"",J263*I263)</f>
        <v>185.0625</v>
      </c>
      <c r="L263" s="25">
        <f t="shared" ref="L263" si="382">$L$44</f>
        <v>78</v>
      </c>
      <c r="M263" s="26">
        <f>0.0575*16</f>
        <v>0.92</v>
      </c>
      <c r="N263" s="26">
        <f t="shared" ref="N263" si="383">IF(F263=0,"",M263*I263)</f>
        <v>8.5128750000000011</v>
      </c>
      <c r="O263" s="24">
        <f t="shared" ref="O263" si="384">IF(F263=0,"",N263*L263)</f>
        <v>664.00425000000007</v>
      </c>
      <c r="P263" s="27">
        <f t="shared" ref="P263" si="385">IF(F263=0,"",(K263+O263)/I263)</f>
        <v>91.76</v>
      </c>
      <c r="Q263" s="24">
        <f t="shared" ref="Q263" si="386">IF(F263=0,"",(P263*I263))</f>
        <v>849.06675000000007</v>
      </c>
      <c r="R263" s="123"/>
    </row>
    <row r="264" spans="1:18" x14ac:dyDescent="0.35">
      <c r="A264" s="71" t="str">
        <f>IF(TRIM(G264)&lt;&gt;"",COUNTA(G$11:$G264)&amp;"","")</f>
        <v/>
      </c>
      <c r="B264" s="75"/>
      <c r="C264" s="75"/>
      <c r="D264" s="34"/>
      <c r="E264" s="56"/>
      <c r="F264" s="73"/>
      <c r="G264" s="74"/>
      <c r="H264" s="22"/>
      <c r="I264" s="51"/>
      <c r="J264" s="23"/>
      <c r="K264" s="24"/>
      <c r="L264" s="25"/>
      <c r="M264" s="26"/>
      <c r="N264" s="26"/>
      <c r="O264" s="24"/>
      <c r="P264" s="27"/>
      <c r="Q264" s="24"/>
      <c r="R264" s="123"/>
    </row>
    <row r="265" spans="1:18" x14ac:dyDescent="0.35">
      <c r="A265" s="71" t="str">
        <f>IF(TRIM(G265)&lt;&gt;"",COUNTA(G$11:$G265)&amp;"","")</f>
        <v/>
      </c>
      <c r="B265" s="75"/>
      <c r="C265" s="75"/>
      <c r="D265" s="34"/>
      <c r="E265" s="259" t="s">
        <v>599</v>
      </c>
      <c r="F265" s="73"/>
      <c r="G265" s="74"/>
      <c r="H265" s="22"/>
      <c r="I265" s="51"/>
      <c r="J265" s="23"/>
      <c r="K265" s="24"/>
      <c r="L265" s="25"/>
      <c r="M265" s="26"/>
      <c r="N265" s="26"/>
      <c r="O265" s="24"/>
      <c r="P265" s="27"/>
      <c r="Q265" s="24"/>
      <c r="R265" s="123"/>
    </row>
    <row r="266" spans="1:18" x14ac:dyDescent="0.35">
      <c r="A266" s="71" t="str">
        <f>IF(TRIM(G266)&lt;&gt;"",COUNTA(G$11:$G266)&amp;"","")</f>
        <v>157</v>
      </c>
      <c r="B266" s="75" t="s">
        <v>610</v>
      </c>
      <c r="C266" s="75" t="s">
        <v>610</v>
      </c>
      <c r="D266" s="34"/>
      <c r="E266" s="56" t="s">
        <v>596</v>
      </c>
      <c r="F266" s="73">
        <v>9</v>
      </c>
      <c r="G266" s="74" t="s">
        <v>192</v>
      </c>
      <c r="H266" s="22">
        <v>0.05</v>
      </c>
      <c r="I266" s="51">
        <f t="shared" ref="I266" si="387">IF(F266=0,"",F266+(F266*H266))</f>
        <v>9.4499999999999993</v>
      </c>
      <c r="J266" s="23">
        <f>2.3*16</f>
        <v>36.799999999999997</v>
      </c>
      <c r="K266" s="24">
        <f t="shared" ref="K266" si="388">IF(F266=0,"",J266*I266)</f>
        <v>347.75999999999993</v>
      </c>
      <c r="L266" s="25">
        <f t="shared" ref="L266" si="389">$L$44</f>
        <v>78</v>
      </c>
      <c r="M266" s="26">
        <f>0.0711*16</f>
        <v>1.1375999999999999</v>
      </c>
      <c r="N266" s="26">
        <f t="shared" ref="N266" si="390">IF(F266=0,"",M266*I266)</f>
        <v>10.750319999999999</v>
      </c>
      <c r="O266" s="24">
        <f t="shared" ref="O266" si="391">IF(F266=0,"",N266*L266)</f>
        <v>838.52495999999985</v>
      </c>
      <c r="P266" s="27">
        <f t="shared" ref="P266" si="392">IF(F266=0,"",(K266+O266)/I266)</f>
        <v>125.53279999999998</v>
      </c>
      <c r="Q266" s="24">
        <f t="shared" ref="Q266" si="393">IF(F266=0,"",(P266*I266))</f>
        <v>1186.2849599999997</v>
      </c>
      <c r="R266" s="123"/>
    </row>
    <row r="267" spans="1:18" ht="15" thickBot="1" x14ac:dyDescent="0.4">
      <c r="A267" s="71" t="str">
        <f>IF(TRIM(G267)&lt;&gt;"",COUNTA(G$11:$G267)&amp;"","")</f>
        <v/>
      </c>
      <c r="B267" s="75"/>
      <c r="C267" s="75"/>
      <c r="D267" s="34"/>
      <c r="E267" s="56"/>
      <c r="F267" s="73"/>
      <c r="G267" s="74"/>
      <c r="H267" s="22"/>
      <c r="I267" s="51"/>
      <c r="J267" s="23"/>
      <c r="K267" s="24"/>
      <c r="L267" s="25"/>
      <c r="M267" s="26"/>
      <c r="N267" s="26"/>
      <c r="O267" s="24"/>
      <c r="P267" s="27"/>
      <c r="Q267" s="24"/>
      <c r="R267" s="123"/>
    </row>
    <row r="268" spans="1:18" s="2" customFormat="1" ht="16" thickBot="1" x14ac:dyDescent="0.4">
      <c r="A268" s="84" t="str">
        <f>IF(TRIM(G268)&lt;&gt;"",COUNTA(G$11:$G268)&amp;"","")</f>
        <v/>
      </c>
      <c r="B268" s="1"/>
      <c r="C268" s="1"/>
      <c r="D268" s="20"/>
      <c r="E268" s="19"/>
      <c r="F268" s="179"/>
      <c r="G268" s="190"/>
      <c r="H268" s="85" t="s">
        <v>12</v>
      </c>
      <c r="I268" s="86"/>
      <c r="J268" s="87">
        <f>SUM(K$45:K$267)</f>
        <v>105471.15071624177</v>
      </c>
      <c r="K268" s="311" t="s">
        <v>13</v>
      </c>
      <c r="L268" s="312"/>
      <c r="M268" s="88">
        <f>SUM(O$45:O$267)</f>
        <v>238810.39641933175</v>
      </c>
      <c r="N268" s="311" t="s">
        <v>42</v>
      </c>
      <c r="O268" s="312"/>
      <c r="P268" s="89">
        <f>SUM(N$45:N$267)</f>
        <v>3061.6717489657894</v>
      </c>
      <c r="Q268" s="191" t="s">
        <v>187</v>
      </c>
      <c r="R268" s="88">
        <f>SUM(Q$45:Q$267)</f>
        <v>344281.54713557335</v>
      </c>
    </row>
    <row r="269" spans="1:18" ht="25" customHeight="1" thickBot="1" x14ac:dyDescent="0.4">
      <c r="A269" s="181" t="str">
        <f>IF(TRIM(G269)&lt;&gt;"",COUNTA(G$11:$G269)&amp;"","")</f>
        <v/>
      </c>
      <c r="B269" s="182"/>
      <c r="C269" s="183" t="s">
        <v>120</v>
      </c>
      <c r="D269" s="193" t="s">
        <v>116</v>
      </c>
      <c r="E269" s="193" t="s">
        <v>52</v>
      </c>
      <c r="F269" s="194"/>
      <c r="G269" s="184"/>
      <c r="H269" s="182"/>
      <c r="I269" s="184"/>
      <c r="J269" s="182"/>
      <c r="K269" s="182"/>
      <c r="L269" s="202">
        <v>78</v>
      </c>
      <c r="M269" s="182"/>
      <c r="N269" s="182"/>
      <c r="O269" s="182"/>
      <c r="P269" s="182"/>
      <c r="Q269" s="182"/>
      <c r="R269" s="185"/>
    </row>
    <row r="270" spans="1:18" x14ac:dyDescent="0.35">
      <c r="A270" s="71" t="str">
        <f>IF(TRIM(G270)&lt;&gt;"",COUNTA(G$11:$G270)&amp;"","")</f>
        <v/>
      </c>
      <c r="B270" s="72"/>
      <c r="C270" s="72"/>
      <c r="D270" s="34"/>
      <c r="E270" s="268" t="s">
        <v>537</v>
      </c>
      <c r="F270" s="73"/>
      <c r="G270" s="74"/>
      <c r="H270" s="22" t="str">
        <f t="shared" ref="H270" si="394">IF(F270=0,"",0)</f>
        <v/>
      </c>
      <c r="I270" s="51" t="str">
        <f t="shared" ref="I270" si="395">IF(F270=0,"",F270+(F270*H270))</f>
        <v/>
      </c>
      <c r="J270" s="23" t="str">
        <f t="shared" ref="J270" si="396">IF(F270=0,"",0)</f>
        <v/>
      </c>
      <c r="K270" s="24" t="str">
        <f t="shared" ref="K270" si="397">IF(F270=0,"",J270*I270)</f>
        <v/>
      </c>
      <c r="L270" s="25" t="str">
        <f t="shared" ref="L270" si="398">IF(F270=0,"",L$269)</f>
        <v/>
      </c>
      <c r="M270" s="26" t="str">
        <f t="shared" ref="M270" si="399">IF(F270=0,"",0)</f>
        <v/>
      </c>
      <c r="N270" s="26" t="str">
        <f t="shared" ref="N270" si="400">IF(F270=0,"",M270*I270)</f>
        <v/>
      </c>
      <c r="O270" s="24" t="str">
        <f t="shared" ref="O270" si="401">IF(F270=0,"",N270*L270)</f>
        <v/>
      </c>
      <c r="P270" s="27" t="str">
        <f t="shared" ref="P270" si="402">IF(F270=0,"",(K270+O270)/I270)</f>
        <v/>
      </c>
      <c r="Q270" s="24" t="str">
        <f t="shared" ref="Q270" si="403">IF(F270=0,"",(P270*I270))</f>
        <v/>
      </c>
      <c r="R270" s="123"/>
    </row>
    <row r="271" spans="1:18" s="18" customFormat="1" ht="19.25" customHeight="1" x14ac:dyDescent="0.35">
      <c r="A271" s="110" t="str">
        <f>IF(TRIM(G271)&lt;&gt;"",COUNTA(G$11:$G271)&amp;"","")</f>
        <v/>
      </c>
      <c r="B271" s="303"/>
      <c r="C271" s="303"/>
      <c r="D271" s="201"/>
      <c r="E271" s="203" t="s">
        <v>600</v>
      </c>
      <c r="F271" s="114"/>
      <c r="G271" s="115"/>
      <c r="H271" s="116" t="str">
        <f t="shared" ref="H271" si="404">IF(F271=0,"",0)</f>
        <v/>
      </c>
      <c r="I271" s="117" t="str">
        <f t="shared" ref="I271:I292" si="405">IF(F271=0,"",F271+(F271*H271))</f>
        <v/>
      </c>
      <c r="J271" s="118" t="str">
        <f t="shared" ref="J271:J292" si="406">IF(F271=0,"",0)</f>
        <v/>
      </c>
      <c r="K271" s="25" t="str">
        <f t="shared" ref="K271:K292" si="407">IF(F271=0,"",J271*I271)</f>
        <v/>
      </c>
      <c r="L271" s="25" t="str">
        <f>IF(F271=0,"",L$269)</f>
        <v/>
      </c>
      <c r="M271" s="119" t="str">
        <f t="shared" ref="M271:M292" si="408">IF(F271=0,"",0)</f>
        <v/>
      </c>
      <c r="N271" s="119" t="str">
        <f t="shared" ref="N271:N292" si="409">IF(F271=0,"",M271*I271)</f>
        <v/>
      </c>
      <c r="O271" s="25" t="str">
        <f t="shared" ref="O271:O292" si="410">IF(F271=0,"",N271*L271)</f>
        <v/>
      </c>
      <c r="P271" s="120" t="str">
        <f t="shared" ref="P271:P292" si="411">IF(F271=0,"",(K271+O271)/I271)</f>
        <v/>
      </c>
      <c r="Q271" s="25" t="str">
        <f t="shared" ref="Q271:Q292" si="412">IF(F271=0,"",(P271*I271))</f>
        <v/>
      </c>
      <c r="R271" s="192"/>
    </row>
    <row r="272" spans="1:18" ht="29" x14ac:dyDescent="0.35">
      <c r="A272" s="71" t="str">
        <f>IF(TRIM(G272)&lt;&gt;"",COUNTA(G$11:$G272)&amp;"","")</f>
        <v>158</v>
      </c>
      <c r="B272" s="304"/>
      <c r="C272" s="304"/>
      <c r="D272" s="34"/>
      <c r="E272" s="69" t="s">
        <v>602</v>
      </c>
      <c r="F272" s="73">
        <f>201.15*9</f>
        <v>1810.3500000000001</v>
      </c>
      <c r="G272" s="74" t="s">
        <v>141</v>
      </c>
      <c r="H272" s="22">
        <v>0.05</v>
      </c>
      <c r="I272" s="51">
        <f t="shared" si="405"/>
        <v>1900.8675000000001</v>
      </c>
      <c r="J272" s="23">
        <v>0.69</v>
      </c>
      <c r="K272" s="24">
        <f t="shared" si="407"/>
        <v>1311.598575</v>
      </c>
      <c r="L272" s="25">
        <f t="shared" ref="L272" si="413">IF(F272=0,"",L$269)</f>
        <v>78</v>
      </c>
      <c r="M272" s="26">
        <v>0.01</v>
      </c>
      <c r="N272" s="26">
        <f t="shared" si="409"/>
        <v>19.008675</v>
      </c>
      <c r="O272" s="24">
        <f t="shared" si="410"/>
        <v>1482.6766500000001</v>
      </c>
      <c r="P272" s="27">
        <f t="shared" si="411"/>
        <v>1.4700000000000002</v>
      </c>
      <c r="Q272" s="24">
        <f t="shared" si="412"/>
        <v>2794.2752250000003</v>
      </c>
      <c r="R272" s="123"/>
    </row>
    <row r="273" spans="1:18" x14ac:dyDescent="0.35">
      <c r="A273" s="71" t="str">
        <f>IF(TRIM(G273)&lt;&gt;"",COUNTA(G$11:$G273)&amp;"","")</f>
        <v>159</v>
      </c>
      <c r="B273" s="304"/>
      <c r="C273" s="304"/>
      <c r="D273" s="34"/>
      <c r="E273" s="69" t="s">
        <v>601</v>
      </c>
      <c r="F273" s="73">
        <f>201.15*9</f>
        <v>1810.3500000000001</v>
      </c>
      <c r="G273" s="74" t="s">
        <v>141</v>
      </c>
      <c r="H273" s="22">
        <v>0.05</v>
      </c>
      <c r="I273" s="51">
        <f t="shared" ref="I273" si="414">IF(F273=0,"",F273+(F273*H273))</f>
        <v>1900.8675000000001</v>
      </c>
      <c r="J273" s="23">
        <v>0.2</v>
      </c>
      <c r="K273" s="24">
        <f t="shared" ref="K273" si="415">IF(F273=0,"",J273*I273)</f>
        <v>380.17350000000005</v>
      </c>
      <c r="L273" s="25">
        <f t="shared" ref="L273" si="416">IF(F273=0,"",L$269)</f>
        <v>78</v>
      </c>
      <c r="M273" s="26">
        <v>3.0000000000000001E-3</v>
      </c>
      <c r="N273" s="26">
        <f t="shared" ref="N273" si="417">IF(F273=0,"",M273*I273)</f>
        <v>5.7026025000000002</v>
      </c>
      <c r="O273" s="24">
        <f t="shared" ref="O273" si="418">IF(F273=0,"",N273*L273)</f>
        <v>444.80299500000001</v>
      </c>
      <c r="P273" s="27">
        <f t="shared" ref="P273" si="419">IF(F273=0,"",(K273+O273)/I273)</f>
        <v>0.43400000000000005</v>
      </c>
      <c r="Q273" s="24">
        <f t="shared" ref="Q273" si="420">IF(F273=0,"",(P273*I273))</f>
        <v>824.97649500000011</v>
      </c>
      <c r="R273" s="123"/>
    </row>
    <row r="274" spans="1:18" x14ac:dyDescent="0.35">
      <c r="A274" s="71" t="str">
        <f>IF(TRIM(G274)&lt;&gt;"",COUNTA(G$11:$G274)&amp;"","")</f>
        <v/>
      </c>
      <c r="B274" s="304"/>
      <c r="C274" s="304"/>
      <c r="D274" s="34"/>
      <c r="E274" s="76"/>
      <c r="F274" s="73"/>
      <c r="G274" s="74"/>
      <c r="H274" s="22"/>
      <c r="I274" s="51"/>
      <c r="J274" s="23"/>
      <c r="K274" s="24"/>
      <c r="L274" s="25"/>
      <c r="M274" s="26"/>
      <c r="N274" s="26"/>
      <c r="O274" s="24"/>
      <c r="P274" s="27"/>
      <c r="Q274" s="24"/>
      <c r="R274" s="123"/>
    </row>
    <row r="275" spans="1:18" s="18" customFormat="1" ht="19.25" customHeight="1" x14ac:dyDescent="0.35">
      <c r="A275" s="110" t="str">
        <f>IF(TRIM(G275)&lt;&gt;"",COUNTA(G$11:$G275)&amp;"","")</f>
        <v/>
      </c>
      <c r="B275" s="304"/>
      <c r="C275" s="304"/>
      <c r="D275" s="201"/>
      <c r="E275" s="268" t="s">
        <v>542</v>
      </c>
      <c r="F275" s="114"/>
      <c r="G275" s="115"/>
      <c r="H275" s="116" t="str">
        <f t="shared" ref="H275" si="421">IF(F275=0,"",0)</f>
        <v/>
      </c>
      <c r="I275" s="117" t="str">
        <f t="shared" ref="I275:I278" si="422">IF(F275=0,"",F275+(F275*H275))</f>
        <v/>
      </c>
      <c r="J275" s="118" t="str">
        <f t="shared" ref="J275" si="423">IF(F275=0,"",0)</f>
        <v/>
      </c>
      <c r="K275" s="25" t="str">
        <f t="shared" ref="K275:K276" si="424">IF(F275=0,"",J275*I275)</f>
        <v/>
      </c>
      <c r="L275" s="25" t="str">
        <f>IF(F275=0,"",L$269)</f>
        <v/>
      </c>
      <c r="M275" s="119" t="str">
        <f t="shared" ref="M275" si="425">IF(F275=0,"",0)</f>
        <v/>
      </c>
      <c r="N275" s="119" t="str">
        <f t="shared" ref="N275:N278" si="426">IF(F275=0,"",M275*I275)</f>
        <v/>
      </c>
      <c r="O275" s="25" t="str">
        <f t="shared" ref="O275:O278" si="427">IF(F275=0,"",N275*L275)</f>
        <v/>
      </c>
      <c r="P275" s="120" t="str">
        <f t="shared" ref="P275:P278" si="428">IF(F275=0,"",(K275+O275)/I275)</f>
        <v/>
      </c>
      <c r="Q275" s="25" t="str">
        <f t="shared" ref="Q275:Q278" si="429">IF(F275=0,"",(P275*I275))</f>
        <v/>
      </c>
      <c r="R275" s="192"/>
    </row>
    <row r="276" spans="1:18" ht="29" x14ac:dyDescent="0.35">
      <c r="A276" s="71" t="str">
        <f>IF(TRIM(G276)&lt;&gt;"",COUNTA(G$11:$G276)&amp;"","")</f>
        <v>160</v>
      </c>
      <c r="B276" s="304"/>
      <c r="C276" s="304"/>
      <c r="D276" s="34"/>
      <c r="E276" s="69" t="s">
        <v>602</v>
      </c>
      <c r="F276" s="73">
        <v>2235</v>
      </c>
      <c r="G276" s="74" t="s">
        <v>141</v>
      </c>
      <c r="H276" s="22">
        <v>0.05</v>
      </c>
      <c r="I276" s="51">
        <f t="shared" si="422"/>
        <v>2346.75</v>
      </c>
      <c r="J276" s="23">
        <v>0.69</v>
      </c>
      <c r="K276" s="24">
        <f t="shared" si="424"/>
        <v>1619.2574999999999</v>
      </c>
      <c r="L276" s="25">
        <f t="shared" ref="L276" si="430">IF(F276=0,"",L$269)</f>
        <v>78</v>
      </c>
      <c r="M276" s="26">
        <v>0.01</v>
      </c>
      <c r="N276" s="26">
        <f t="shared" si="426"/>
        <v>23.467500000000001</v>
      </c>
      <c r="O276" s="24">
        <f t="shared" si="427"/>
        <v>1830.4650000000001</v>
      </c>
      <c r="P276" s="27">
        <f t="shared" si="428"/>
        <v>1.47</v>
      </c>
      <c r="Q276" s="24">
        <f t="shared" si="429"/>
        <v>3449.7224999999999</v>
      </c>
      <c r="R276" s="123"/>
    </row>
    <row r="277" spans="1:18" ht="29" x14ac:dyDescent="0.35">
      <c r="A277" s="71" t="str">
        <f>IF(TRIM(G277)&lt;&gt;"",COUNTA(G$11:$G277)&amp;"","")</f>
        <v>161</v>
      </c>
      <c r="B277" s="304"/>
      <c r="C277" s="304"/>
      <c r="D277" s="34"/>
      <c r="E277" s="69" t="s">
        <v>603</v>
      </c>
      <c r="F277" s="73">
        <v>2196.8200000000002</v>
      </c>
      <c r="G277" s="74" t="s">
        <v>141</v>
      </c>
      <c r="H277" s="22">
        <v>0.05</v>
      </c>
      <c r="I277" s="51">
        <f t="shared" ref="I277" si="431">IF(F277=0,"",F277+(F277*H277))</f>
        <v>2306.6610000000001</v>
      </c>
      <c r="J277" s="23">
        <v>0.89</v>
      </c>
      <c r="K277" s="24">
        <f t="shared" ref="K277:K278" si="432">IF(F277=0,"",J277*I277)</f>
        <v>2052.9282900000003</v>
      </c>
      <c r="L277" s="25">
        <f t="shared" ref="L277:L278" si="433">IF(F277=0,"",L$269)</f>
        <v>78</v>
      </c>
      <c r="M277" s="26">
        <v>1.2E-2</v>
      </c>
      <c r="N277" s="26">
        <f t="shared" ref="N277" si="434">IF(F277=0,"",M277*I277)</f>
        <v>27.679932000000001</v>
      </c>
      <c r="O277" s="24">
        <f t="shared" ref="O277" si="435">IF(F277=0,"",N277*L277)</f>
        <v>2159.0346960000002</v>
      </c>
      <c r="P277" s="27">
        <f t="shared" ref="P277" si="436">IF(F277=0,"",(K277+O277)/I277)</f>
        <v>1.8260000000000001</v>
      </c>
      <c r="Q277" s="24">
        <f t="shared" ref="Q277" si="437">IF(F277=0,"",(P277*I277))</f>
        <v>4211.9629860000005</v>
      </c>
      <c r="R277" s="123"/>
    </row>
    <row r="278" spans="1:18" x14ac:dyDescent="0.35">
      <c r="A278" s="71" t="str">
        <f>IF(TRIM(G278)&lt;&gt;"",COUNTA(G$11:$G278)&amp;"","")</f>
        <v>162</v>
      </c>
      <c r="B278" s="304"/>
      <c r="C278" s="304"/>
      <c r="D278" s="34"/>
      <c r="E278" s="69" t="s">
        <v>601</v>
      </c>
      <c r="F278" s="73">
        <f>F276</f>
        <v>2235</v>
      </c>
      <c r="G278" s="74" t="s">
        <v>141</v>
      </c>
      <c r="H278" s="22">
        <v>0.05</v>
      </c>
      <c r="I278" s="51">
        <f t="shared" si="422"/>
        <v>2346.75</v>
      </c>
      <c r="J278" s="23">
        <v>0.2</v>
      </c>
      <c r="K278" s="24">
        <f t="shared" si="432"/>
        <v>469.35</v>
      </c>
      <c r="L278" s="25">
        <f t="shared" si="433"/>
        <v>78</v>
      </c>
      <c r="M278" s="26">
        <v>3.0000000000000001E-3</v>
      </c>
      <c r="N278" s="26">
        <f t="shared" si="426"/>
        <v>7.0402500000000003</v>
      </c>
      <c r="O278" s="24">
        <f t="shared" si="427"/>
        <v>549.1395</v>
      </c>
      <c r="P278" s="27">
        <f t="shared" si="428"/>
        <v>0.434</v>
      </c>
      <c r="Q278" s="24">
        <f t="shared" si="429"/>
        <v>1018.4895</v>
      </c>
      <c r="R278" s="123"/>
    </row>
    <row r="279" spans="1:18" x14ac:dyDescent="0.35">
      <c r="A279" s="71" t="str">
        <f>IF(TRIM(G279)&lt;&gt;"",COUNTA(G$11:$G279)&amp;"","")</f>
        <v/>
      </c>
      <c r="B279" s="304"/>
      <c r="C279" s="304"/>
      <c r="D279" s="34"/>
      <c r="E279" s="76"/>
      <c r="F279" s="73"/>
      <c r="G279" s="74"/>
      <c r="H279" s="22"/>
      <c r="I279" s="51"/>
      <c r="J279" s="23"/>
      <c r="K279" s="24"/>
      <c r="L279" s="25"/>
      <c r="M279" s="26"/>
      <c r="N279" s="26"/>
      <c r="O279" s="24"/>
      <c r="P279" s="27"/>
      <c r="Q279" s="24"/>
      <c r="R279" s="123"/>
    </row>
    <row r="280" spans="1:18" s="18" customFormat="1" ht="19.25" customHeight="1" x14ac:dyDescent="0.35">
      <c r="A280" s="110" t="str">
        <f>IF(TRIM(G280)&lt;&gt;"",COUNTA(G$11:$G280)&amp;"","")</f>
        <v/>
      </c>
      <c r="B280" s="304"/>
      <c r="C280" s="304"/>
      <c r="D280" s="201"/>
      <c r="E280" s="268" t="s">
        <v>569</v>
      </c>
      <c r="F280" s="114"/>
      <c r="G280" s="115"/>
      <c r="H280" s="116" t="str">
        <f t="shared" ref="H280" si="438">IF(F280=0,"",0)</f>
        <v/>
      </c>
      <c r="I280" s="117" t="str">
        <f t="shared" ref="I280:I283" si="439">IF(F280=0,"",F280+(F280*H280))</f>
        <v/>
      </c>
      <c r="J280" s="118" t="str">
        <f t="shared" ref="J280" si="440">IF(F280=0,"",0)</f>
        <v/>
      </c>
      <c r="K280" s="25" t="str">
        <f t="shared" ref="K280:K283" si="441">IF(F280=0,"",J280*I280)</f>
        <v/>
      </c>
      <c r="L280" s="25" t="str">
        <f>IF(F280=0,"",L$269)</f>
        <v/>
      </c>
      <c r="M280" s="119" t="str">
        <f t="shared" ref="M280" si="442">IF(F280=0,"",0)</f>
        <v/>
      </c>
      <c r="N280" s="119" t="str">
        <f t="shared" ref="N280:N283" si="443">IF(F280=0,"",M280*I280)</f>
        <v/>
      </c>
      <c r="O280" s="25" t="str">
        <f t="shared" ref="O280:O283" si="444">IF(F280=0,"",N280*L280)</f>
        <v/>
      </c>
      <c r="P280" s="120" t="str">
        <f t="shared" ref="P280:P283" si="445">IF(F280=0,"",(K280+O280)/I280)</f>
        <v/>
      </c>
      <c r="Q280" s="25" t="str">
        <f t="shared" ref="Q280:Q283" si="446">IF(F280=0,"",(P280*I280))</f>
        <v/>
      </c>
      <c r="R280" s="192"/>
    </row>
    <row r="281" spans="1:18" ht="29" x14ac:dyDescent="0.35">
      <c r="A281" s="71" t="str">
        <f>IF(TRIM(G281)&lt;&gt;"",COUNTA(G$11:$G281)&amp;"","")</f>
        <v>163</v>
      </c>
      <c r="B281" s="304"/>
      <c r="C281" s="304"/>
      <c r="D281" s="34"/>
      <c r="E281" s="69" t="s">
        <v>602</v>
      </c>
      <c r="F281" s="73">
        <v>2488</v>
      </c>
      <c r="G281" s="74" t="s">
        <v>141</v>
      </c>
      <c r="H281" s="22">
        <v>0.05</v>
      </c>
      <c r="I281" s="51">
        <f t="shared" si="439"/>
        <v>2612.4</v>
      </c>
      <c r="J281" s="23">
        <v>0.69</v>
      </c>
      <c r="K281" s="24">
        <f t="shared" si="441"/>
        <v>1802.5559999999998</v>
      </c>
      <c r="L281" s="25">
        <f t="shared" ref="L281:L283" si="447">IF(F281=0,"",L$269)</f>
        <v>78</v>
      </c>
      <c r="M281" s="26">
        <v>0.01</v>
      </c>
      <c r="N281" s="26">
        <f t="shared" si="443"/>
        <v>26.124000000000002</v>
      </c>
      <c r="O281" s="24">
        <f t="shared" si="444"/>
        <v>2037.6720000000003</v>
      </c>
      <c r="P281" s="27">
        <f t="shared" si="445"/>
        <v>1.47</v>
      </c>
      <c r="Q281" s="24">
        <f t="shared" si="446"/>
        <v>3840.2280000000001</v>
      </c>
      <c r="R281" s="123"/>
    </row>
    <row r="282" spans="1:18" ht="29" x14ac:dyDescent="0.35">
      <c r="A282" s="71" t="str">
        <f>IF(TRIM(G282)&lt;&gt;"",COUNTA(G$11:$G282)&amp;"","")</f>
        <v>164</v>
      </c>
      <c r="B282" s="304"/>
      <c r="C282" s="304"/>
      <c r="D282" s="34"/>
      <c r="E282" s="69" t="s">
        <v>603</v>
      </c>
      <c r="F282" s="73">
        <v>2151.2600000000002</v>
      </c>
      <c r="G282" s="74" t="s">
        <v>141</v>
      </c>
      <c r="H282" s="22">
        <v>0.05</v>
      </c>
      <c r="I282" s="51">
        <f t="shared" si="439"/>
        <v>2258.8230000000003</v>
      </c>
      <c r="J282" s="23">
        <v>0.89</v>
      </c>
      <c r="K282" s="24">
        <f t="shared" si="441"/>
        <v>2010.3524700000003</v>
      </c>
      <c r="L282" s="25">
        <f t="shared" si="447"/>
        <v>78</v>
      </c>
      <c r="M282" s="26">
        <v>1.2E-2</v>
      </c>
      <c r="N282" s="26">
        <f t="shared" si="443"/>
        <v>27.105876000000006</v>
      </c>
      <c r="O282" s="24">
        <f t="shared" si="444"/>
        <v>2114.2583280000003</v>
      </c>
      <c r="P282" s="27">
        <f t="shared" si="445"/>
        <v>1.8260000000000001</v>
      </c>
      <c r="Q282" s="24">
        <f t="shared" si="446"/>
        <v>4124.6107980000006</v>
      </c>
      <c r="R282" s="123"/>
    </row>
    <row r="283" spans="1:18" x14ac:dyDescent="0.35">
      <c r="A283" s="71" t="str">
        <f>IF(TRIM(G283)&lt;&gt;"",COUNTA(G$11:$G283)&amp;"","")</f>
        <v>165</v>
      </c>
      <c r="B283" s="304"/>
      <c r="C283" s="304"/>
      <c r="D283" s="34"/>
      <c r="E283" s="69" t="s">
        <v>601</v>
      </c>
      <c r="F283" s="73">
        <f>F281</f>
        <v>2488</v>
      </c>
      <c r="G283" s="74" t="s">
        <v>141</v>
      </c>
      <c r="H283" s="22">
        <v>0.05</v>
      </c>
      <c r="I283" s="51">
        <f t="shared" si="439"/>
        <v>2612.4</v>
      </c>
      <c r="J283" s="23">
        <v>0.2</v>
      </c>
      <c r="K283" s="24">
        <f t="shared" si="441"/>
        <v>522.48</v>
      </c>
      <c r="L283" s="25">
        <f t="shared" si="447"/>
        <v>78</v>
      </c>
      <c r="M283" s="26">
        <v>3.0000000000000001E-3</v>
      </c>
      <c r="N283" s="26">
        <f t="shared" si="443"/>
        <v>7.8372000000000002</v>
      </c>
      <c r="O283" s="24">
        <f t="shared" si="444"/>
        <v>611.30160000000001</v>
      </c>
      <c r="P283" s="27">
        <f t="shared" si="445"/>
        <v>0.434</v>
      </c>
      <c r="Q283" s="24">
        <f t="shared" si="446"/>
        <v>1133.7816</v>
      </c>
      <c r="R283" s="123"/>
    </row>
    <row r="284" spans="1:18" x14ac:dyDescent="0.35">
      <c r="A284" s="71" t="str">
        <f>IF(TRIM(G284)&lt;&gt;"",COUNTA(G$11:$G284)&amp;"","")</f>
        <v/>
      </c>
      <c r="B284" s="304"/>
      <c r="C284" s="304"/>
      <c r="D284" s="34"/>
      <c r="E284" s="76"/>
      <c r="F284" s="73"/>
      <c r="G284" s="74"/>
      <c r="H284" s="22"/>
      <c r="I284" s="51"/>
      <c r="J284" s="23"/>
      <c r="K284" s="24"/>
      <c r="L284" s="25"/>
      <c r="M284" s="26"/>
      <c r="N284" s="26"/>
      <c r="O284" s="24"/>
      <c r="P284" s="27"/>
      <c r="Q284" s="24"/>
      <c r="R284" s="123"/>
    </row>
    <row r="285" spans="1:18" s="18" customFormat="1" ht="19.25" customHeight="1" x14ac:dyDescent="0.35">
      <c r="A285" s="110" t="str">
        <f>IF(TRIM(G285)&lt;&gt;"",COUNTA(G$11:$G285)&amp;"","")</f>
        <v/>
      </c>
      <c r="B285" s="304"/>
      <c r="C285" s="304"/>
      <c r="D285" s="201"/>
      <c r="E285" s="268" t="s">
        <v>576</v>
      </c>
      <c r="F285" s="114"/>
      <c r="G285" s="115"/>
      <c r="H285" s="116" t="str">
        <f t="shared" ref="H285" si="448">IF(F285=0,"",0)</f>
        <v/>
      </c>
      <c r="I285" s="117" t="str">
        <f t="shared" ref="I285:I288" si="449">IF(F285=0,"",F285+(F285*H285))</f>
        <v/>
      </c>
      <c r="J285" s="118" t="str">
        <f t="shared" ref="J285" si="450">IF(F285=0,"",0)</f>
        <v/>
      </c>
      <c r="K285" s="25" t="str">
        <f t="shared" ref="K285:K288" si="451">IF(F285=0,"",J285*I285)</f>
        <v/>
      </c>
      <c r="L285" s="25" t="str">
        <f>IF(F285=0,"",L$269)</f>
        <v/>
      </c>
      <c r="M285" s="119" t="str">
        <f t="shared" ref="M285" si="452">IF(F285=0,"",0)</f>
        <v/>
      </c>
      <c r="N285" s="119" t="str">
        <f t="shared" ref="N285:N288" si="453">IF(F285=0,"",M285*I285)</f>
        <v/>
      </c>
      <c r="O285" s="25" t="str">
        <f t="shared" ref="O285:O288" si="454">IF(F285=0,"",N285*L285)</f>
        <v/>
      </c>
      <c r="P285" s="120" t="str">
        <f t="shared" ref="P285:P288" si="455">IF(F285=0,"",(K285+O285)/I285)</f>
        <v/>
      </c>
      <c r="Q285" s="25" t="str">
        <f t="shared" ref="Q285:Q288" si="456">IF(F285=0,"",(P285*I285))</f>
        <v/>
      </c>
      <c r="R285" s="192"/>
    </row>
    <row r="286" spans="1:18" ht="29" x14ac:dyDescent="0.35">
      <c r="A286" s="71" t="str">
        <f>IF(TRIM(G286)&lt;&gt;"",COUNTA(G$11:$G286)&amp;"","")</f>
        <v>166</v>
      </c>
      <c r="B286" s="304"/>
      <c r="C286" s="304"/>
      <c r="D286" s="34"/>
      <c r="E286" s="69" t="s">
        <v>602</v>
      </c>
      <c r="F286" s="73">
        <v>2200</v>
      </c>
      <c r="G286" s="74" t="s">
        <v>141</v>
      </c>
      <c r="H286" s="22">
        <v>0.05</v>
      </c>
      <c r="I286" s="51">
        <f t="shared" si="449"/>
        <v>2310</v>
      </c>
      <c r="J286" s="23">
        <v>0.69</v>
      </c>
      <c r="K286" s="24">
        <f t="shared" si="451"/>
        <v>1593.8999999999999</v>
      </c>
      <c r="L286" s="25">
        <f t="shared" ref="L286:L288" si="457">IF(F286=0,"",L$269)</f>
        <v>78</v>
      </c>
      <c r="M286" s="26">
        <v>0.01</v>
      </c>
      <c r="N286" s="26">
        <f t="shared" si="453"/>
        <v>23.1</v>
      </c>
      <c r="O286" s="24">
        <f t="shared" si="454"/>
        <v>1801.8000000000002</v>
      </c>
      <c r="P286" s="27">
        <f t="shared" si="455"/>
        <v>1.47</v>
      </c>
      <c r="Q286" s="24">
        <f t="shared" si="456"/>
        <v>3395.7</v>
      </c>
      <c r="R286" s="123"/>
    </row>
    <row r="287" spans="1:18" ht="29" x14ac:dyDescent="0.35">
      <c r="A287" s="71" t="str">
        <f>IF(TRIM(G287)&lt;&gt;"",COUNTA(G$11:$G287)&amp;"","")</f>
        <v>167</v>
      </c>
      <c r="B287" s="304"/>
      <c r="C287" s="304"/>
      <c r="D287" s="34"/>
      <c r="E287" s="69" t="s">
        <v>603</v>
      </c>
      <c r="F287" s="73">
        <v>1490.7</v>
      </c>
      <c r="G287" s="74" t="s">
        <v>141</v>
      </c>
      <c r="H287" s="22">
        <v>0.05</v>
      </c>
      <c r="I287" s="51">
        <f t="shared" si="449"/>
        <v>1565.2350000000001</v>
      </c>
      <c r="J287" s="23">
        <v>0.89</v>
      </c>
      <c r="K287" s="24">
        <f t="shared" si="451"/>
        <v>1393.05915</v>
      </c>
      <c r="L287" s="25">
        <f t="shared" si="457"/>
        <v>78</v>
      </c>
      <c r="M287" s="26">
        <v>1.2E-2</v>
      </c>
      <c r="N287" s="26">
        <f t="shared" si="453"/>
        <v>18.782820000000001</v>
      </c>
      <c r="O287" s="24">
        <f t="shared" si="454"/>
        <v>1465.05996</v>
      </c>
      <c r="P287" s="27">
        <f t="shared" si="455"/>
        <v>1.8259999999999998</v>
      </c>
      <c r="Q287" s="24">
        <f t="shared" si="456"/>
        <v>2858.1191100000001</v>
      </c>
      <c r="R287" s="123"/>
    </row>
    <row r="288" spans="1:18" x14ac:dyDescent="0.35">
      <c r="A288" s="71" t="str">
        <f>IF(TRIM(G288)&lt;&gt;"",COUNTA(G$11:$G288)&amp;"","")</f>
        <v>168</v>
      </c>
      <c r="B288" s="304"/>
      <c r="C288" s="304"/>
      <c r="D288" s="34"/>
      <c r="E288" s="69" t="s">
        <v>601</v>
      </c>
      <c r="F288" s="73">
        <f>F286</f>
        <v>2200</v>
      </c>
      <c r="G288" s="74" t="s">
        <v>141</v>
      </c>
      <c r="H288" s="22">
        <v>0.05</v>
      </c>
      <c r="I288" s="51">
        <f t="shared" si="449"/>
        <v>2310</v>
      </c>
      <c r="J288" s="23">
        <v>0.2</v>
      </c>
      <c r="K288" s="24">
        <f t="shared" si="451"/>
        <v>462</v>
      </c>
      <c r="L288" s="25">
        <f t="shared" si="457"/>
        <v>78</v>
      </c>
      <c r="M288" s="26">
        <v>3.0000000000000001E-3</v>
      </c>
      <c r="N288" s="26">
        <f t="shared" si="453"/>
        <v>6.93</v>
      </c>
      <c r="O288" s="24">
        <f t="shared" si="454"/>
        <v>540.54</v>
      </c>
      <c r="P288" s="27">
        <f t="shared" si="455"/>
        <v>0.434</v>
      </c>
      <c r="Q288" s="24">
        <f t="shared" si="456"/>
        <v>1002.54</v>
      </c>
      <c r="R288" s="123"/>
    </row>
    <row r="289" spans="1:18" x14ac:dyDescent="0.35">
      <c r="A289" s="71" t="str">
        <f>IF(TRIM(G289)&lt;&gt;"",COUNTA(G$11:$G289)&amp;"","")</f>
        <v/>
      </c>
      <c r="B289" s="304"/>
      <c r="C289" s="304"/>
      <c r="D289" s="34"/>
      <c r="E289" s="76"/>
      <c r="F289" s="73"/>
      <c r="G289" s="74"/>
      <c r="H289" s="22"/>
      <c r="I289" s="51"/>
      <c r="J289" s="23"/>
      <c r="K289" s="24"/>
      <c r="L289" s="25"/>
      <c r="M289" s="26"/>
      <c r="N289" s="26"/>
      <c r="O289" s="24"/>
      <c r="P289" s="27"/>
      <c r="Q289" s="24"/>
      <c r="R289" s="123"/>
    </row>
    <row r="290" spans="1:18" x14ac:dyDescent="0.35">
      <c r="A290" s="71" t="str">
        <f>IF(TRIM(G290)&lt;&gt;"",COUNTA(G$11:$G290)&amp;"","")</f>
        <v/>
      </c>
      <c r="B290" s="304"/>
      <c r="C290" s="304"/>
      <c r="D290" s="34"/>
      <c r="E290" s="268" t="s">
        <v>592</v>
      </c>
      <c r="F290" s="73"/>
      <c r="G290" s="74"/>
      <c r="H290" s="22"/>
      <c r="I290" s="51"/>
      <c r="J290" s="23"/>
      <c r="K290" s="24"/>
      <c r="L290" s="25"/>
      <c r="M290" s="26"/>
      <c r="N290" s="26"/>
      <c r="O290" s="24"/>
      <c r="P290" s="27"/>
      <c r="Q290" s="24"/>
      <c r="R290" s="123"/>
    </row>
    <row r="291" spans="1:18" ht="29" x14ac:dyDescent="0.35">
      <c r="A291" s="71" t="str">
        <f>IF(TRIM(G291)&lt;&gt;"",COUNTA(G$11:$G291)&amp;"","")</f>
        <v>169</v>
      </c>
      <c r="B291" s="305"/>
      <c r="C291" s="305"/>
      <c r="D291" s="34"/>
      <c r="E291" s="69" t="s">
        <v>603</v>
      </c>
      <c r="F291" s="73">
        <v>1705.9</v>
      </c>
      <c r="G291" s="74" t="s">
        <v>141</v>
      </c>
      <c r="H291" s="22">
        <v>0.05</v>
      </c>
      <c r="I291" s="51">
        <f t="shared" ref="I291" si="458">IF(F291=0,"",F291+(F291*H291))</f>
        <v>1791.1950000000002</v>
      </c>
      <c r="J291" s="23">
        <v>0.89</v>
      </c>
      <c r="K291" s="24">
        <f t="shared" ref="K291" si="459">IF(F291=0,"",J291*I291)</f>
        <v>1594.1635500000002</v>
      </c>
      <c r="L291" s="25">
        <f t="shared" ref="L291" si="460">IF(F291=0,"",L$269)</f>
        <v>78</v>
      </c>
      <c r="M291" s="26">
        <v>1.2E-2</v>
      </c>
      <c r="N291" s="26">
        <f t="shared" ref="N291" si="461">IF(F291=0,"",M291*I291)</f>
        <v>21.494340000000001</v>
      </c>
      <c r="O291" s="24">
        <f t="shared" ref="O291" si="462">IF(F291=0,"",N291*L291)</f>
        <v>1676.55852</v>
      </c>
      <c r="P291" s="27">
        <f t="shared" ref="P291" si="463">IF(F291=0,"",(K291+O291)/I291)</f>
        <v>1.8260000000000001</v>
      </c>
      <c r="Q291" s="24">
        <f t="shared" ref="Q291" si="464">IF(F291=0,"",(P291*I291))</f>
        <v>3270.7220700000003</v>
      </c>
      <c r="R291" s="123"/>
    </row>
    <row r="292" spans="1:18" ht="15" thickBot="1" x14ac:dyDescent="0.4">
      <c r="A292" s="71" t="str">
        <f>IF(TRIM(G292)&lt;&gt;"",COUNTA(G$10:$G292)&amp;"","")</f>
        <v/>
      </c>
      <c r="B292" s="75"/>
      <c r="C292" s="75"/>
      <c r="D292" s="34"/>
      <c r="E292" s="76"/>
      <c r="F292" s="73"/>
      <c r="G292" s="74"/>
      <c r="H292" s="22" t="str">
        <f t="shared" ref="H292" si="465">IF(F292=0,"",0)</f>
        <v/>
      </c>
      <c r="I292" s="51" t="str">
        <f t="shared" si="405"/>
        <v/>
      </c>
      <c r="J292" s="23" t="str">
        <f t="shared" si="406"/>
        <v/>
      </c>
      <c r="K292" s="24" t="str">
        <f t="shared" si="407"/>
        <v/>
      </c>
      <c r="L292" s="25" t="str">
        <f>IF(F292=0,"",L$269)</f>
        <v/>
      </c>
      <c r="M292" s="26" t="str">
        <f t="shared" si="408"/>
        <v/>
      </c>
      <c r="N292" s="26" t="str">
        <f t="shared" si="409"/>
        <v/>
      </c>
      <c r="O292" s="24" t="str">
        <f t="shared" si="410"/>
        <v/>
      </c>
      <c r="P292" s="27" t="str">
        <f t="shared" si="411"/>
        <v/>
      </c>
      <c r="Q292" s="24" t="str">
        <f t="shared" si="412"/>
        <v/>
      </c>
      <c r="R292" s="123"/>
    </row>
    <row r="293" spans="1:18" s="2" customFormat="1" ht="15.5" x14ac:dyDescent="0.35">
      <c r="A293" s="84" t="str">
        <f>IF(TRIM(G293)&lt;&gt;"",COUNTA(G$10:$G293)&amp;"","")</f>
        <v/>
      </c>
      <c r="B293" s="1"/>
      <c r="C293" s="1"/>
      <c r="D293" s="20"/>
      <c r="E293" s="19"/>
      <c r="F293" s="179"/>
      <c r="G293" s="190"/>
      <c r="H293" s="85" t="s">
        <v>12</v>
      </c>
      <c r="I293" s="86"/>
      <c r="J293" s="87">
        <f>SUM(K$271:K$292)</f>
        <v>15211.819035</v>
      </c>
      <c r="K293" s="311" t="s">
        <v>13</v>
      </c>
      <c r="L293" s="312"/>
      <c r="M293" s="88">
        <f>SUM(O$271:O$292)</f>
        <v>16713.309248999998</v>
      </c>
      <c r="N293" s="311" t="s">
        <v>42</v>
      </c>
      <c r="O293" s="312"/>
      <c r="P293" s="89">
        <f>SUM(N$271:N$292)</f>
        <v>214.27319550000001</v>
      </c>
      <c r="Q293" s="191" t="s">
        <v>187</v>
      </c>
      <c r="R293" s="88">
        <f>SUM(Q$271:Q$292)</f>
        <v>31925.128284000002</v>
      </c>
    </row>
    <row r="294" spans="1:18" ht="15" thickBot="1" x14ac:dyDescent="0.4">
      <c r="A294" s="127" t="str">
        <f>IF(TRIM(G294)&lt;&gt;"",COUNTA(G$10:$G294)&amp;"","")</f>
        <v/>
      </c>
      <c r="B294" s="128"/>
      <c r="C294" s="128"/>
      <c r="D294" s="129"/>
      <c r="E294" s="130"/>
      <c r="F294" s="131"/>
      <c r="G294" s="132"/>
      <c r="H294" s="133" t="str">
        <f>IF(F294=0,"",0)</f>
        <v/>
      </c>
      <c r="I294" s="134" t="str">
        <f t="shared" ref="I294" si="466">IF(F294=0,"",F294+(F294*H294))</f>
        <v/>
      </c>
      <c r="J294" s="135" t="str">
        <f>IF(F294=0,"",0)</f>
        <v/>
      </c>
      <c r="K294" s="136" t="str">
        <f>IF(F294=0,"",J294*I294)</f>
        <v/>
      </c>
      <c r="L294" s="137" t="str">
        <f>IF(F294=0,"",#REF!)</f>
        <v/>
      </c>
      <c r="M294" s="138" t="str">
        <f>IF(F294=0,"",0)</f>
        <v/>
      </c>
      <c r="N294" s="138" t="str">
        <f>IF(F294=0,"",M294*I294)</f>
        <v/>
      </c>
      <c r="O294" s="136" t="str">
        <f>IF(F294=0,"",N294*L294)</f>
        <v/>
      </c>
      <c r="P294" s="139" t="str">
        <f>IF(F294=0,"",K294+O294)</f>
        <v/>
      </c>
      <c r="Q294" s="139"/>
      <c r="R294" s="140"/>
    </row>
    <row r="295" spans="1:18" s="2" customFormat="1" ht="20" customHeight="1" thickBot="1" x14ac:dyDescent="0.4">
      <c r="A295" s="159" t="str">
        <f>IF(TRIM(G295)&lt;&gt;"",COUNTA(G$10:$G295)&amp;"","")</f>
        <v/>
      </c>
      <c r="B295" s="151"/>
      <c r="C295" s="160"/>
      <c r="D295" s="151"/>
      <c r="E295" s="156"/>
      <c r="F295" s="152"/>
      <c r="G295" s="152"/>
      <c r="H295" s="360" t="s">
        <v>151</v>
      </c>
      <c r="I295" s="361"/>
      <c r="J295" s="209">
        <f>SUM(K$10:K$294)</f>
        <v>132080.38936609135</v>
      </c>
      <c r="K295" s="317" t="s">
        <v>152</v>
      </c>
      <c r="L295" s="318"/>
      <c r="M295" s="210">
        <f>SUM(O$10:O$294)</f>
        <v>295595.54886918579</v>
      </c>
      <c r="N295" s="317" t="s">
        <v>153</v>
      </c>
      <c r="O295" s="318"/>
      <c r="P295" s="211">
        <f>SUM(N$10:N$294)</f>
        <v>3811.6690946380295</v>
      </c>
      <c r="Q295" s="212" t="s">
        <v>188</v>
      </c>
      <c r="R295" s="210">
        <f>SUM(Q$9:Q$294)</f>
        <v>427675.93823527714</v>
      </c>
    </row>
    <row r="296" spans="1:18" ht="15" thickBot="1" x14ac:dyDescent="0.4">
      <c r="A296" s="158" t="str">
        <f>IF(TRIM(G296)&lt;&gt;"",COUNTA(G$10:$G296)&amp;"","")</f>
        <v/>
      </c>
      <c r="B296" s="157"/>
      <c r="C296" s="157"/>
      <c r="D296" s="141"/>
      <c r="E296" s="155"/>
      <c r="F296" s="142"/>
      <c r="G296" s="143"/>
      <c r="H296" s="153" t="str">
        <f>IF(F296=0,"",0)</f>
        <v/>
      </c>
      <c r="I296" s="154" t="str">
        <f t="shared" ref="I296" si="467">IF(F296=0,"",F296+(F296*H296))</f>
        <v/>
      </c>
      <c r="J296" s="144" t="str">
        <f>IF(F296=0,"",0)</f>
        <v/>
      </c>
      <c r="K296" s="145" t="str">
        <f>IF(F296=0,"",J296*I296)</f>
        <v/>
      </c>
      <c r="L296" s="146" t="str">
        <f>IF(F296=0,"",#REF!)</f>
        <v/>
      </c>
      <c r="M296" s="147" t="str">
        <f>IF(F296=0,"",0)</f>
        <v/>
      </c>
      <c r="N296" s="147" t="str">
        <f>IF(F296=0,"",M296*I296)</f>
        <v/>
      </c>
      <c r="O296" s="145" t="str">
        <f>IF(F296=0,"",N296*L296)</f>
        <v/>
      </c>
      <c r="P296" s="148" t="str">
        <f>IF(F296=0,"",K296+O296)</f>
        <v/>
      </c>
      <c r="Q296" s="145"/>
      <c r="R296" s="149"/>
    </row>
    <row r="297" spans="1:18" ht="20.149999999999999" customHeight="1" thickBot="1" x14ac:dyDescent="0.4">
      <c r="A297" s="322" t="s">
        <v>25</v>
      </c>
      <c r="B297" s="323"/>
      <c r="C297" s="323"/>
      <c r="D297" s="323"/>
      <c r="E297" s="323"/>
      <c r="F297" s="323"/>
      <c r="G297" s="323"/>
      <c r="H297" s="323"/>
      <c r="I297" s="323"/>
      <c r="J297" s="323"/>
      <c r="K297" s="323"/>
      <c r="L297" s="323"/>
      <c r="M297" s="323"/>
      <c r="N297" s="323"/>
      <c r="O297" s="323"/>
      <c r="P297" s="323"/>
      <c r="Q297" s="324"/>
      <c r="R297" s="237">
        <f>SUM(K$10:$K$296)</f>
        <v>132080.38936609135</v>
      </c>
    </row>
    <row r="298" spans="1:18" ht="20.149999999999999" customHeight="1" thickBot="1" x14ac:dyDescent="0.4">
      <c r="A298" s="322" t="s">
        <v>26</v>
      </c>
      <c r="B298" s="323"/>
      <c r="C298" s="323"/>
      <c r="D298" s="323"/>
      <c r="E298" s="323"/>
      <c r="F298" s="323"/>
      <c r="G298" s="323"/>
      <c r="H298" s="323"/>
      <c r="I298" s="323"/>
      <c r="J298" s="323"/>
      <c r="K298" s="323"/>
      <c r="L298" s="323"/>
      <c r="M298" s="323"/>
      <c r="N298" s="323"/>
      <c r="O298" s="323"/>
      <c r="P298" s="323"/>
      <c r="Q298" s="324"/>
      <c r="R298" s="237">
        <f>SUM(O$10:O$296)</f>
        <v>295595.54886918579</v>
      </c>
    </row>
    <row r="299" spans="1:18" ht="20.149999999999999" customHeight="1" thickBot="1" x14ac:dyDescent="0.4">
      <c r="A299" s="322" t="s">
        <v>144</v>
      </c>
      <c r="B299" s="323"/>
      <c r="C299" s="323"/>
      <c r="D299" s="323"/>
      <c r="E299" s="323"/>
      <c r="F299" s="323"/>
      <c r="G299" s="323"/>
      <c r="H299" s="323"/>
      <c r="I299" s="323"/>
      <c r="J299" s="323"/>
      <c r="K299" s="323"/>
      <c r="L299" s="323"/>
      <c r="M299" s="323"/>
      <c r="N299" s="323"/>
      <c r="O299" s="323"/>
      <c r="P299" s="323"/>
      <c r="Q299" s="324"/>
      <c r="R299" s="238">
        <f>SUM(N$10:N$296)</f>
        <v>3811.6690946380295</v>
      </c>
    </row>
    <row r="300" spans="1:18" ht="19" customHeight="1" x14ac:dyDescent="0.35">
      <c r="A300" s="172"/>
      <c r="B300" s="173"/>
      <c r="C300" s="174"/>
      <c r="D300" s="175"/>
      <c r="E300" s="176"/>
      <c r="F300" s="177"/>
      <c r="G300" s="178"/>
      <c r="H300" s="177"/>
      <c r="I300" s="177"/>
      <c r="J300" s="177"/>
      <c r="K300" s="177"/>
      <c r="L300" s="177"/>
      <c r="M300" s="177"/>
      <c r="N300" s="177"/>
      <c r="O300" s="177"/>
      <c r="P300" s="177"/>
      <c r="Q300" s="177"/>
      <c r="R300" s="177"/>
    </row>
    <row r="301" spans="1:18" ht="18.5" x14ac:dyDescent="0.35">
      <c r="A301" s="174"/>
      <c r="B301" s="213" t="s">
        <v>110</v>
      </c>
      <c r="C301" s="174"/>
      <c r="D301" s="175"/>
      <c r="E301" s="321"/>
      <c r="F301" s="321"/>
      <c r="G301" s="321"/>
      <c r="H301" s="321"/>
      <c r="I301" s="321"/>
      <c r="J301" s="321"/>
      <c r="K301" s="321"/>
      <c r="L301" s="321"/>
      <c r="M301" s="321"/>
      <c r="N301" s="321"/>
      <c r="O301" s="321"/>
      <c r="P301" s="321"/>
      <c r="Q301" s="321"/>
      <c r="R301" s="321"/>
    </row>
    <row r="302" spans="1:18" s="47" customFormat="1" ht="18.75" customHeight="1" x14ac:dyDescent="0.35">
      <c r="A302" s="92">
        <v>1</v>
      </c>
      <c r="B302" s="319" t="s">
        <v>165</v>
      </c>
      <c r="C302" s="319"/>
      <c r="D302" s="319"/>
      <c r="E302" s="319"/>
      <c r="F302" s="319"/>
      <c r="G302" s="319"/>
      <c r="H302" s="319"/>
      <c r="I302" s="319"/>
      <c r="J302" s="319"/>
      <c r="K302" s="319"/>
      <c r="L302" s="319"/>
      <c r="M302" s="319"/>
      <c r="N302" s="319"/>
      <c r="O302" s="319"/>
      <c r="P302" s="319"/>
      <c r="Q302" s="319"/>
      <c r="R302" s="320"/>
    </row>
    <row r="303" spans="1:18" s="47" customFormat="1" ht="18" customHeight="1" x14ac:dyDescent="0.35">
      <c r="A303" s="92">
        <v>2</v>
      </c>
      <c r="B303" s="319" t="s">
        <v>169</v>
      </c>
      <c r="C303" s="319"/>
      <c r="D303" s="319"/>
      <c r="E303" s="319"/>
      <c r="F303" s="319"/>
      <c r="G303" s="319"/>
      <c r="H303" s="319"/>
      <c r="I303" s="319"/>
      <c r="J303" s="319"/>
      <c r="K303" s="319"/>
      <c r="L303" s="319"/>
      <c r="M303" s="319"/>
      <c r="N303" s="319"/>
      <c r="O303" s="319"/>
      <c r="P303" s="319"/>
      <c r="Q303" s="319"/>
      <c r="R303" s="320"/>
    </row>
    <row r="304" spans="1:18" s="47" customFormat="1" ht="18" customHeight="1" x14ac:dyDescent="0.35">
      <c r="A304" s="92">
        <v>3</v>
      </c>
      <c r="B304" s="319" t="s">
        <v>112</v>
      </c>
      <c r="C304" s="319"/>
      <c r="D304" s="319"/>
      <c r="E304" s="319"/>
      <c r="F304" s="319"/>
      <c r="G304" s="319"/>
      <c r="H304" s="319"/>
      <c r="I304" s="319"/>
      <c r="J304" s="319"/>
      <c r="K304" s="319"/>
      <c r="L304" s="319"/>
      <c r="M304" s="319"/>
      <c r="N304" s="319"/>
      <c r="O304" s="319"/>
      <c r="P304" s="319"/>
      <c r="Q304" s="319"/>
      <c r="R304" s="320"/>
    </row>
    <row r="305" spans="1:18" s="47" customFormat="1" ht="18" customHeight="1" x14ac:dyDescent="0.35">
      <c r="A305" s="92">
        <v>4</v>
      </c>
      <c r="B305" s="319" t="s">
        <v>166</v>
      </c>
      <c r="C305" s="319"/>
      <c r="D305" s="319"/>
      <c r="E305" s="319"/>
      <c r="F305" s="319"/>
      <c r="G305" s="319"/>
      <c r="H305" s="319"/>
      <c r="I305" s="319"/>
      <c r="J305" s="319"/>
      <c r="K305" s="319"/>
      <c r="L305" s="319"/>
      <c r="M305" s="319"/>
      <c r="N305" s="319"/>
      <c r="O305" s="319"/>
      <c r="P305" s="319"/>
      <c r="Q305" s="319"/>
      <c r="R305" s="320"/>
    </row>
    <row r="306" spans="1:18" ht="15" thickBot="1" x14ac:dyDescent="0.4">
      <c r="A306" s="38"/>
      <c r="B306" s="351"/>
      <c r="C306" s="351"/>
      <c r="D306" s="351"/>
      <c r="E306" s="351"/>
      <c r="F306" s="351"/>
      <c r="G306" s="351"/>
      <c r="H306" s="351"/>
      <c r="I306" s="351"/>
      <c r="J306" s="351"/>
      <c r="K306" s="351"/>
      <c r="L306" s="351"/>
      <c r="M306" s="351"/>
      <c r="N306" s="351"/>
      <c r="O306" s="351"/>
      <c r="P306" s="351"/>
      <c r="Q306" s="351"/>
      <c r="R306" s="352"/>
    </row>
  </sheetData>
  <mergeCells count="55">
    <mergeCell ref="M2:N2"/>
    <mergeCell ref="O2:R2"/>
    <mergeCell ref="F3:L3"/>
    <mergeCell ref="M3:N3"/>
    <mergeCell ref="O3:R3"/>
    <mergeCell ref="L6:Q6"/>
    <mergeCell ref="K17:L17"/>
    <mergeCell ref="N17:O17"/>
    <mergeCell ref="F4:L4"/>
    <mergeCell ref="M4:N4"/>
    <mergeCell ref="O4:R4"/>
    <mergeCell ref="F5:L5"/>
    <mergeCell ref="M5:N5"/>
    <mergeCell ref="O5:R5"/>
    <mergeCell ref="A6:F6"/>
    <mergeCell ref="H6:K6"/>
    <mergeCell ref="A1:D5"/>
    <mergeCell ref="E1:L1"/>
    <mergeCell ref="M1:N1"/>
    <mergeCell ref="O1:R1"/>
    <mergeCell ref="E2:L2"/>
    <mergeCell ref="B25:B28"/>
    <mergeCell ref="C25:C28"/>
    <mergeCell ref="B31:B33"/>
    <mergeCell ref="C31:C33"/>
    <mergeCell ref="K43:L43"/>
    <mergeCell ref="N43:O43"/>
    <mergeCell ref="C36:C38"/>
    <mergeCell ref="C92:C138"/>
    <mergeCell ref="B47:B88"/>
    <mergeCell ref="C47:C88"/>
    <mergeCell ref="B92:B138"/>
    <mergeCell ref="B36:B38"/>
    <mergeCell ref="B305:R305"/>
    <mergeCell ref="B306:R306"/>
    <mergeCell ref="B271:B291"/>
    <mergeCell ref="C271:C291"/>
    <mergeCell ref="A297:Q297"/>
    <mergeCell ref="A298:Q298"/>
    <mergeCell ref="A299:Q299"/>
    <mergeCell ref="E301:R301"/>
    <mergeCell ref="B302:R302"/>
    <mergeCell ref="B303:R303"/>
    <mergeCell ref="H295:I295"/>
    <mergeCell ref="K295:L295"/>
    <mergeCell ref="N295:O295"/>
    <mergeCell ref="K293:L293"/>
    <mergeCell ref="N293:O293"/>
    <mergeCell ref="B141:B194"/>
    <mergeCell ref="C141:C194"/>
    <mergeCell ref="B197:B251"/>
    <mergeCell ref="C197:C251"/>
    <mergeCell ref="B304:R304"/>
    <mergeCell ref="K268:L268"/>
    <mergeCell ref="N268:O268"/>
  </mergeCells>
  <printOptions horizontalCentered="1"/>
  <pageMargins left="0.23622047244094491" right="0.23622047244094491" top="0.74803149606299213" bottom="0.74803149606299213" header="0.31496062992125984" footer="0.31496062992125984"/>
  <pageSetup scale="39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CDDC13-B9D2-46A8-A748-06B47F473832}">
  <sheetPr>
    <tabColor rgb="FFA50021"/>
    <pageSetUpPr fitToPage="1"/>
  </sheetPr>
  <dimension ref="A1:E548"/>
  <sheetViews>
    <sheetView tabSelected="1" view="pageBreakPreview" zoomScale="44" zoomScaleNormal="70" zoomScaleSheetLayoutView="44" workbookViewId="0">
      <selection activeCell="D5" sqref="D5:E5"/>
    </sheetView>
  </sheetViews>
  <sheetFormatPr defaultColWidth="8.81640625" defaultRowHeight="14.5" x14ac:dyDescent="0.35"/>
  <cols>
    <col min="1" max="1" width="6.26953125" style="52" customWidth="1"/>
    <col min="2" max="2" width="13.7265625" style="77" customWidth="1"/>
    <col min="3" max="3" width="82.7265625" style="78" customWidth="1"/>
    <col min="4" max="4" width="15.7265625" style="79" customWidth="1"/>
    <col min="5" max="5" width="15.7265625" style="53" customWidth="1"/>
    <col min="6" max="6" width="8.81640625" style="52"/>
    <col min="7" max="7" width="14.54296875" style="52" bestFit="1" customWidth="1"/>
    <col min="8" max="16384" width="8.81640625" style="52"/>
  </cols>
  <sheetData>
    <row r="1" spans="1:5" ht="45" customHeight="1" thickBot="1" x14ac:dyDescent="0.4">
      <c r="A1" s="342"/>
      <c r="B1" s="344"/>
      <c r="C1" s="353" t="s">
        <v>646</v>
      </c>
      <c r="D1" s="354"/>
      <c r="E1" s="354"/>
    </row>
    <row r="2" spans="1:5" ht="45" customHeight="1" thickBot="1" x14ac:dyDescent="0.4">
      <c r="A2" s="345"/>
      <c r="B2" s="347"/>
      <c r="C2" s="330" t="s">
        <v>647</v>
      </c>
      <c r="D2" s="331"/>
      <c r="E2" s="331"/>
    </row>
    <row r="3" spans="1:5" ht="45" customHeight="1" thickBot="1" x14ac:dyDescent="0.4">
      <c r="A3" s="345"/>
      <c r="B3" s="347"/>
      <c r="C3" s="81" t="s">
        <v>147</v>
      </c>
      <c r="D3" s="331" t="s">
        <v>645</v>
      </c>
      <c r="E3" s="331"/>
    </row>
    <row r="4" spans="1:5" ht="45" customHeight="1" thickBot="1" x14ac:dyDescent="0.4">
      <c r="A4" s="345"/>
      <c r="B4" s="347"/>
      <c r="C4" s="81" t="s">
        <v>148</v>
      </c>
      <c r="D4" s="331" t="s">
        <v>149</v>
      </c>
      <c r="E4" s="331"/>
    </row>
    <row r="5" spans="1:5" ht="40" customHeight="1" thickBot="1" x14ac:dyDescent="0.4">
      <c r="A5" s="348"/>
      <c r="B5" s="350"/>
      <c r="C5" s="150" t="s">
        <v>111</v>
      </c>
      <c r="D5" s="358">
        <v>45999</v>
      </c>
      <c r="E5" s="358"/>
    </row>
    <row r="6" spans="1:5" s="254" customFormat="1" ht="30" customHeight="1" thickBot="1" x14ac:dyDescent="0.4">
      <c r="A6" s="330"/>
      <c r="B6" s="331"/>
      <c r="C6" s="331"/>
      <c r="D6" s="332"/>
      <c r="E6" s="252"/>
    </row>
    <row r="7" spans="1:5" ht="49.9" customHeight="1" thickBot="1" x14ac:dyDescent="0.4">
      <c r="A7" s="28" t="s">
        <v>0</v>
      </c>
      <c r="B7" s="30" t="s">
        <v>43</v>
      </c>
      <c r="C7" s="28" t="s">
        <v>1</v>
      </c>
      <c r="D7" s="31" t="s">
        <v>2</v>
      </c>
      <c r="E7" s="28" t="s">
        <v>3</v>
      </c>
    </row>
    <row r="8" spans="1:5" ht="30" customHeight="1" thickBot="1" x14ac:dyDescent="0.4">
      <c r="A8" s="195"/>
      <c r="B8" s="197"/>
      <c r="C8" s="198" t="s">
        <v>175</v>
      </c>
      <c r="D8" s="199"/>
      <c r="E8" s="199"/>
    </row>
    <row r="9" spans="1:5" ht="25" customHeight="1" thickBot="1" x14ac:dyDescent="0.4">
      <c r="A9" s="181"/>
      <c r="B9" s="193" t="s">
        <v>132</v>
      </c>
      <c r="C9" s="193" t="s">
        <v>133</v>
      </c>
      <c r="D9" s="194"/>
      <c r="E9" s="184"/>
    </row>
    <row r="10" spans="1:5" ht="14.5" customHeight="1" x14ac:dyDescent="0.35">
      <c r="A10" s="110" t="str">
        <f>IF(TRIM(E10)&lt;&gt;"",COUNTA(E8:$E$10)&amp;"","")</f>
        <v/>
      </c>
      <c r="B10" s="112"/>
      <c r="C10" s="113"/>
      <c r="D10" s="114"/>
      <c r="E10" s="115"/>
    </row>
    <row r="11" spans="1:5" x14ac:dyDescent="0.35">
      <c r="A11" s="71" t="str">
        <f>IF(TRIM(E11)&lt;&gt;"",COUNTA(E11:$E$11)&amp;"","")</f>
        <v>1</v>
      </c>
      <c r="B11" s="34"/>
      <c r="C11" s="69" t="s">
        <v>155</v>
      </c>
      <c r="D11" s="73">
        <f>92.16*40.5</f>
        <v>3732.48</v>
      </c>
      <c r="E11" s="74" t="s">
        <v>141</v>
      </c>
    </row>
    <row r="12" spans="1:5" x14ac:dyDescent="0.35">
      <c r="A12" s="71" t="str">
        <f>IF(TRIM(E12)&lt;&gt;"",COUNTA(E$11:$E12)&amp;"","")</f>
        <v>2</v>
      </c>
      <c r="B12" s="34"/>
      <c r="C12" s="69" t="s">
        <v>667</v>
      </c>
      <c r="D12" s="73">
        <v>1</v>
      </c>
      <c r="E12" s="74" t="s">
        <v>666</v>
      </c>
    </row>
    <row r="13" spans="1:5" x14ac:dyDescent="0.35">
      <c r="A13" s="71" t="str">
        <f>IF(TRIM(E13)&lt;&gt;"",COUNTA(E$11:$E13)&amp;"","")</f>
        <v>3</v>
      </c>
      <c r="B13" s="34"/>
      <c r="C13" s="69" t="s">
        <v>171</v>
      </c>
      <c r="D13" s="73">
        <v>1</v>
      </c>
      <c r="E13" s="74" t="s">
        <v>141</v>
      </c>
    </row>
    <row r="14" spans="1:5" x14ac:dyDescent="0.35">
      <c r="A14" s="71" t="str">
        <f>IF(TRIM(E14)&lt;&gt;"",COUNTA(E$11:$E14)&amp;"","")</f>
        <v>4</v>
      </c>
      <c r="B14" s="34"/>
      <c r="C14" s="56" t="s">
        <v>191</v>
      </c>
      <c r="D14" s="73">
        <f>'[1]Bid Recap &amp; Summary'!J43</f>
        <v>100</v>
      </c>
      <c r="E14" s="74" t="s">
        <v>141</v>
      </c>
    </row>
    <row r="15" spans="1:5" x14ac:dyDescent="0.35">
      <c r="A15" s="71" t="str">
        <f>IF(TRIM(E15)&lt;&gt;"",COUNTA(E$11:$E15)&amp;"","")</f>
        <v/>
      </c>
      <c r="B15" s="34"/>
      <c r="C15" s="76"/>
      <c r="D15" s="73"/>
      <c r="E15" s="74"/>
    </row>
    <row r="16" spans="1:5" s="2" customFormat="1" ht="16" thickBot="1" x14ac:dyDescent="0.4">
      <c r="A16" s="71" t="str">
        <f>IF(TRIM(E16)&lt;&gt;"",COUNTA(E$11:$E16)&amp;"","")</f>
        <v/>
      </c>
      <c r="B16" s="20"/>
      <c r="C16" s="19"/>
      <c r="D16" s="49"/>
      <c r="E16" s="50"/>
    </row>
    <row r="17" spans="1:5" ht="30" customHeight="1" thickBot="1" x14ac:dyDescent="0.4">
      <c r="A17" s="195" t="str">
        <f>IF(TRIM(E17)&lt;&gt;"",COUNTA(E$11:$E17)&amp;"","")</f>
        <v/>
      </c>
      <c r="B17" s="197"/>
      <c r="C17" s="198" t="s">
        <v>174</v>
      </c>
      <c r="D17" s="199"/>
      <c r="E17" s="199"/>
    </row>
    <row r="18" spans="1:5" ht="25" customHeight="1" thickBot="1" x14ac:dyDescent="0.4">
      <c r="A18" s="181" t="str">
        <f>IF(TRIM(E18)&lt;&gt;"",COUNTA(E$11:$E18)&amp;"","")</f>
        <v/>
      </c>
      <c r="B18" s="193" t="s">
        <v>49</v>
      </c>
      <c r="C18" s="193" t="s">
        <v>50</v>
      </c>
      <c r="D18" s="194"/>
      <c r="E18" s="184"/>
    </row>
    <row r="19" spans="1:5" s="18" customFormat="1" ht="19.149999999999999" customHeight="1" x14ac:dyDescent="0.35">
      <c r="A19" s="71" t="str">
        <f>IF(TRIM(E19)&lt;&gt;"",COUNTA(E$11:$E19)&amp;"","")</f>
        <v/>
      </c>
      <c r="B19" s="207" t="s">
        <v>62</v>
      </c>
      <c r="C19" s="205" t="s">
        <v>665</v>
      </c>
      <c r="D19" s="73"/>
      <c r="E19" s="74"/>
    </row>
    <row r="20" spans="1:5" x14ac:dyDescent="0.35">
      <c r="A20" s="71" t="str">
        <f>IF(TRIM(E20)&lt;&gt;"",COUNTA(E$11:$E20)&amp;"","")</f>
        <v>5</v>
      </c>
      <c r="B20" s="34"/>
      <c r="C20" s="76" t="s">
        <v>664</v>
      </c>
      <c r="D20" s="73">
        <v>80</v>
      </c>
      <c r="E20" s="74" t="s">
        <v>157</v>
      </c>
    </row>
    <row r="21" spans="1:5" x14ac:dyDescent="0.35">
      <c r="A21" s="71" t="str">
        <f>IF(TRIM(E21)&lt;&gt;"",COUNTA(E$11:$E21)&amp;"","")</f>
        <v/>
      </c>
      <c r="B21" s="34"/>
      <c r="C21" s="76"/>
      <c r="D21" s="73"/>
      <c r="E21" s="74"/>
    </row>
    <row r="22" spans="1:5" x14ac:dyDescent="0.35">
      <c r="A22" s="71" t="str">
        <f>IF(TRIM(E22)&lt;&gt;"",COUNTA(E$11:$E22)&amp;"","")</f>
        <v/>
      </c>
      <c r="B22" s="34"/>
      <c r="C22" s="205" t="s">
        <v>663</v>
      </c>
      <c r="D22" s="73"/>
      <c r="E22" s="74"/>
    </row>
    <row r="23" spans="1:5" x14ac:dyDescent="0.35">
      <c r="A23" s="71" t="str">
        <f>IF(TRIM(E23)&lt;&gt;"",COUNTA(E$11:$E23)&amp;"","")</f>
        <v>6</v>
      </c>
      <c r="B23" s="34"/>
      <c r="C23" s="76" t="s">
        <v>662</v>
      </c>
      <c r="D23" s="73">
        <v>6151</v>
      </c>
      <c r="E23" s="74" t="s">
        <v>211</v>
      </c>
    </row>
    <row r="24" spans="1:5" x14ac:dyDescent="0.35">
      <c r="A24" s="71" t="str">
        <f>IF(TRIM(E24)&lt;&gt;"",COUNTA(E$11:$E24)&amp;"","")</f>
        <v/>
      </c>
      <c r="B24" s="34"/>
      <c r="C24" s="76"/>
      <c r="D24" s="73"/>
      <c r="E24" s="74"/>
    </row>
    <row r="25" spans="1:5" x14ac:dyDescent="0.35">
      <c r="A25" s="71" t="str">
        <f>IF(TRIM(E25)&lt;&gt;"",COUNTA(E$11:$E25)&amp;"","")</f>
        <v/>
      </c>
      <c r="B25" s="34"/>
      <c r="C25" s="205" t="s">
        <v>661</v>
      </c>
      <c r="D25" s="73"/>
      <c r="E25" s="74"/>
    </row>
    <row r="26" spans="1:5" x14ac:dyDescent="0.35">
      <c r="A26" s="71" t="str">
        <f>IF(TRIM(E26)&lt;&gt;"",COUNTA(E$11:$E26)&amp;"","")</f>
        <v>7</v>
      </c>
      <c r="B26" s="34"/>
      <c r="C26" s="76" t="s">
        <v>661</v>
      </c>
      <c r="D26" s="73">
        <v>28</v>
      </c>
      <c r="E26" s="74" t="s">
        <v>157</v>
      </c>
    </row>
    <row r="27" spans="1:5" x14ac:dyDescent="0.35">
      <c r="A27" s="71" t="str">
        <f>IF(TRIM(E27)&lt;&gt;"",COUNTA(E$11:$E27)&amp;"","")</f>
        <v/>
      </c>
      <c r="B27" s="34"/>
      <c r="C27" s="76"/>
      <c r="D27" s="73"/>
      <c r="E27" s="74"/>
    </row>
    <row r="28" spans="1:5" x14ac:dyDescent="0.35">
      <c r="A28" s="71" t="str">
        <f>IF(TRIM(E28)&lt;&gt;"",COUNTA(E$11:$E28)&amp;"","")</f>
        <v/>
      </c>
      <c r="B28" s="34"/>
      <c r="C28" s="205" t="s">
        <v>660</v>
      </c>
      <c r="D28" s="73"/>
      <c r="E28" s="74"/>
    </row>
    <row r="29" spans="1:5" x14ac:dyDescent="0.35">
      <c r="A29" s="71" t="str">
        <f>IF(TRIM(E29)&lt;&gt;"",COUNTA(E$11:$E29)&amp;"","")</f>
        <v>8</v>
      </c>
      <c r="B29" s="34"/>
      <c r="C29" s="76" t="s">
        <v>660</v>
      </c>
      <c r="D29" s="73">
        <v>2276</v>
      </c>
      <c r="E29" s="74" t="s">
        <v>141</v>
      </c>
    </row>
    <row r="30" spans="1:5" s="2" customFormat="1" ht="16" thickBot="1" x14ac:dyDescent="0.4">
      <c r="A30" s="84" t="str">
        <f>IF(TRIM(E30)&lt;&gt;"",COUNTA(E$11:$E30)&amp;"","")</f>
        <v/>
      </c>
      <c r="B30" s="20"/>
      <c r="C30" s="19"/>
      <c r="D30" s="179"/>
      <c r="E30" s="190"/>
    </row>
    <row r="31" spans="1:5" ht="25" customHeight="1" thickBot="1" x14ac:dyDescent="0.4">
      <c r="A31" s="181" t="str">
        <f>IF(TRIM(E31)&lt;&gt;"",COUNTA(E$11:$E31)&amp;"","")</f>
        <v/>
      </c>
      <c r="B31" s="193" t="s">
        <v>115</v>
      </c>
      <c r="C31" s="193" t="s">
        <v>113</v>
      </c>
      <c r="D31" s="194"/>
      <c r="E31" s="184"/>
    </row>
    <row r="32" spans="1:5" s="18" customFormat="1" ht="19.149999999999999" customHeight="1" x14ac:dyDescent="0.35">
      <c r="A32" s="71" t="str">
        <f>IF(TRIM(E32)&lt;&gt;"",COUNTA(E$11:$E32)&amp;"","")</f>
        <v/>
      </c>
      <c r="B32" s="207" t="s">
        <v>65</v>
      </c>
      <c r="C32" s="205" t="s">
        <v>64</v>
      </c>
      <c r="D32" s="73"/>
      <c r="E32" s="74"/>
    </row>
    <row r="33" spans="1:5" x14ac:dyDescent="0.35">
      <c r="A33" s="71" t="str">
        <f>IF(TRIM(E33)&lt;&gt;"",COUNTA(E$11:$E33)&amp;"","")</f>
        <v>9</v>
      </c>
      <c r="B33" s="34"/>
      <c r="C33" s="56" t="s">
        <v>506</v>
      </c>
      <c r="D33" s="73">
        <v>31</v>
      </c>
      <c r="E33" s="74" t="s">
        <v>154</v>
      </c>
    </row>
    <row r="34" spans="1:5" x14ac:dyDescent="0.35">
      <c r="A34" s="71" t="str">
        <f>IF(TRIM(E34)&lt;&gt;"",COUNTA(E$11:$E34)&amp;"","")</f>
        <v/>
      </c>
      <c r="B34" s="34"/>
      <c r="C34" s="56"/>
      <c r="D34" s="73"/>
      <c r="E34" s="74"/>
    </row>
    <row r="35" spans="1:5" s="18" customFormat="1" ht="19.149999999999999" customHeight="1" x14ac:dyDescent="0.35">
      <c r="A35" s="71" t="str">
        <f>IF(TRIM(E35)&lt;&gt;"",COUNTA(E$11:$E35)&amp;"","")</f>
        <v/>
      </c>
      <c r="B35" s="207" t="s">
        <v>184</v>
      </c>
      <c r="C35" s="205" t="s">
        <v>66</v>
      </c>
      <c r="D35" s="73"/>
      <c r="E35" s="74"/>
    </row>
    <row r="36" spans="1:5" ht="29" x14ac:dyDescent="0.35">
      <c r="A36" s="71" t="str">
        <f>IF(TRIM(E36)&lt;&gt;"",COUNTA(E$11:$E36)&amp;"","")</f>
        <v>10</v>
      </c>
      <c r="B36" s="34"/>
      <c r="C36" s="56" t="s">
        <v>241</v>
      </c>
      <c r="D36" s="73">
        <v>3</v>
      </c>
      <c r="E36" s="74" t="s">
        <v>192</v>
      </c>
    </row>
    <row r="37" spans="1:5" ht="29" x14ac:dyDescent="0.35">
      <c r="A37" s="71" t="str">
        <f>IF(TRIM(E37)&lt;&gt;"",COUNTA(E$11:$E37)&amp;"","")</f>
        <v>11</v>
      </c>
      <c r="B37" s="34"/>
      <c r="C37" s="56" t="s">
        <v>242</v>
      </c>
      <c r="D37" s="73">
        <v>1</v>
      </c>
      <c r="E37" s="74" t="s">
        <v>192</v>
      </c>
    </row>
    <row r="38" spans="1:5" s="2" customFormat="1" ht="16" thickBot="1" x14ac:dyDescent="0.4">
      <c r="A38" s="84" t="str">
        <f>IF(TRIM(E38)&lt;&gt;"",COUNTA(E$11:$E38)&amp;"","")</f>
        <v/>
      </c>
      <c r="B38" s="20"/>
      <c r="C38" s="19"/>
      <c r="D38" s="179"/>
      <c r="E38" s="190"/>
    </row>
    <row r="39" spans="1:5" ht="25" customHeight="1" thickBot="1" x14ac:dyDescent="0.4">
      <c r="A39" s="181" t="str">
        <f>IF(TRIM(E39)&lt;&gt;"",COUNTA(E$11:$E39)&amp;"","")</f>
        <v/>
      </c>
      <c r="B39" s="204" t="s">
        <v>114</v>
      </c>
      <c r="C39" s="193" t="s">
        <v>51</v>
      </c>
      <c r="D39" s="194"/>
      <c r="E39" s="184"/>
    </row>
    <row r="40" spans="1:5" s="18" customFormat="1" ht="19.149999999999999" customHeight="1" x14ac:dyDescent="0.35">
      <c r="A40" s="71" t="str">
        <f>IF(TRIM(E40)&lt;&gt;"",COUNTA(E$11:$E40)&amp;"","")</f>
        <v/>
      </c>
      <c r="B40" s="207" t="s">
        <v>68</v>
      </c>
      <c r="C40" s="205" t="s">
        <v>67</v>
      </c>
      <c r="D40" s="73"/>
      <c r="E40" s="74"/>
    </row>
    <row r="41" spans="1:5" x14ac:dyDescent="0.35">
      <c r="A41" s="71" t="str">
        <f>IF(TRIM(E41)&lt;&gt;"",COUNTA(E$11:$E41)&amp;"","")</f>
        <v/>
      </c>
      <c r="B41" s="34"/>
      <c r="C41" s="256" t="s">
        <v>200</v>
      </c>
      <c r="D41" s="73"/>
      <c r="E41" s="74"/>
    </row>
    <row r="42" spans="1:5" x14ac:dyDescent="0.35">
      <c r="A42" s="71" t="str">
        <f>IF(TRIM(E42)&lt;&gt;"",COUNTA(E$11:$E42)&amp;"","")</f>
        <v>12</v>
      </c>
      <c r="B42" s="34"/>
      <c r="C42" s="56" t="s">
        <v>507</v>
      </c>
      <c r="D42" s="73">
        <v>746</v>
      </c>
      <c r="E42" s="74" t="s">
        <v>154</v>
      </c>
    </row>
    <row r="43" spans="1:5" x14ac:dyDescent="0.35">
      <c r="A43" s="71" t="str">
        <f>IF(TRIM(E43)&lt;&gt;"",COUNTA(E$11:$E43)&amp;"","")</f>
        <v/>
      </c>
      <c r="B43" s="34"/>
      <c r="C43" s="56"/>
      <c r="D43" s="73"/>
      <c r="E43" s="74"/>
    </row>
    <row r="44" spans="1:5" s="18" customFormat="1" ht="19.149999999999999" customHeight="1" x14ac:dyDescent="0.35">
      <c r="A44" s="71" t="str">
        <f>IF(TRIM(E44)&lt;&gt;"",COUNTA(E$11:$E44)&amp;"","")</f>
        <v/>
      </c>
      <c r="B44" s="207" t="s">
        <v>70</v>
      </c>
      <c r="C44" s="205" t="s">
        <v>69</v>
      </c>
      <c r="D44" s="73"/>
      <c r="E44" s="74"/>
    </row>
    <row r="45" spans="1:5" ht="29" x14ac:dyDescent="0.35">
      <c r="A45" s="71" t="str">
        <f>IF(TRIM(E45)&lt;&gt;"",COUNTA(E$11:$E45)&amp;"","")</f>
        <v>13</v>
      </c>
      <c r="B45" s="34"/>
      <c r="C45" s="56" t="s">
        <v>244</v>
      </c>
      <c r="D45" s="73">
        <f>2942.32-386</f>
        <v>2556.3200000000002</v>
      </c>
      <c r="E45" s="74" t="s">
        <v>154</v>
      </c>
    </row>
    <row r="46" spans="1:5" ht="29" x14ac:dyDescent="0.35">
      <c r="A46" s="71" t="str">
        <f>IF(TRIM(E46)&lt;&gt;"",COUNTA(E$11:$E46)&amp;"","")</f>
        <v>14</v>
      </c>
      <c r="B46" s="34"/>
      <c r="C46" s="56" t="s">
        <v>243</v>
      </c>
      <c r="D46" s="73">
        <v>1097</v>
      </c>
      <c r="E46" s="74" t="s">
        <v>154</v>
      </c>
    </row>
    <row r="47" spans="1:5" x14ac:dyDescent="0.35">
      <c r="A47" s="71" t="str">
        <f>IF(TRIM(E47)&lt;&gt;"",COUNTA(E$11:$E47)&amp;"","")</f>
        <v/>
      </c>
      <c r="B47" s="34"/>
      <c r="C47" s="56"/>
      <c r="D47" s="73"/>
      <c r="E47" s="74"/>
    </row>
    <row r="48" spans="1:5" s="18" customFormat="1" ht="19.149999999999999" customHeight="1" x14ac:dyDescent="0.35">
      <c r="A48" s="71" t="str">
        <f>IF(TRIM(E48)&lt;&gt;"",COUNTA(E$11:$E48)&amp;"","")</f>
        <v/>
      </c>
      <c r="B48" s="207" t="s">
        <v>72</v>
      </c>
      <c r="C48" s="205" t="s">
        <v>71</v>
      </c>
      <c r="D48" s="73"/>
      <c r="E48" s="74"/>
    </row>
    <row r="49" spans="1:5" x14ac:dyDescent="0.35">
      <c r="A49" s="71" t="str">
        <f>IF(TRIM(E49)&lt;&gt;"",COUNTA(E$11:$E49)&amp;"","")</f>
        <v>15</v>
      </c>
      <c r="B49" s="34"/>
      <c r="C49" s="56" t="s">
        <v>240</v>
      </c>
      <c r="D49" s="73">
        <v>203.19</v>
      </c>
      <c r="E49" s="74" t="s">
        <v>154</v>
      </c>
    </row>
    <row r="50" spans="1:5" x14ac:dyDescent="0.35">
      <c r="A50" s="71" t="str">
        <f>IF(TRIM(E50)&lt;&gt;"",COUNTA(E$11:$E50)&amp;"","")</f>
        <v/>
      </c>
      <c r="B50" s="34"/>
      <c r="C50" s="56"/>
      <c r="D50" s="73"/>
      <c r="E50" s="74"/>
    </row>
    <row r="51" spans="1:5" s="18" customFormat="1" ht="19.149999999999999" customHeight="1" x14ac:dyDescent="0.35">
      <c r="A51" s="71" t="str">
        <f>IF(TRIM(E51)&lt;&gt;"",COUNTA(E$11:$E51)&amp;"","")</f>
        <v/>
      </c>
      <c r="B51" s="207" t="s">
        <v>176</v>
      </c>
      <c r="C51" s="205" t="s">
        <v>177</v>
      </c>
      <c r="D51" s="73"/>
      <c r="E51" s="74"/>
    </row>
    <row r="52" spans="1:5" ht="29" x14ac:dyDescent="0.35">
      <c r="A52" s="71" t="str">
        <f>IF(TRIM(E52)&lt;&gt;"",COUNTA(E$11:$E52)&amp;"","")</f>
        <v>16</v>
      </c>
      <c r="B52" s="34"/>
      <c r="C52" s="56" t="s">
        <v>239</v>
      </c>
      <c r="D52" s="73">
        <v>127.99</v>
      </c>
      <c r="E52" s="74" t="s">
        <v>154</v>
      </c>
    </row>
    <row r="53" spans="1:5" x14ac:dyDescent="0.35">
      <c r="A53" s="71" t="str">
        <f>IF(TRIM(E53)&lt;&gt;"",COUNTA(E$11:$E53)&amp;"","")</f>
        <v/>
      </c>
      <c r="B53" s="34"/>
      <c r="C53" s="56"/>
      <c r="D53" s="73"/>
      <c r="E53" s="74"/>
    </row>
    <row r="54" spans="1:5" x14ac:dyDescent="0.35">
      <c r="A54" s="71" t="str">
        <f>IF(TRIM(E54)&lt;&gt;"",COUNTA(E$11:$E54)&amp;"","")</f>
        <v/>
      </c>
      <c r="B54" s="34"/>
      <c r="C54" s="56"/>
      <c r="D54" s="73"/>
      <c r="E54" s="74"/>
    </row>
    <row r="55" spans="1:5" x14ac:dyDescent="0.35">
      <c r="A55" s="71" t="str">
        <f>IF(TRIM(E55)&lt;&gt;"",COUNTA(E$11:$E55)&amp;"","")</f>
        <v/>
      </c>
      <c r="B55" s="207" t="s">
        <v>68</v>
      </c>
      <c r="C55" s="205" t="s">
        <v>67</v>
      </c>
      <c r="D55" s="73"/>
      <c r="E55" s="74"/>
    </row>
    <row r="56" spans="1:5" x14ac:dyDescent="0.35">
      <c r="A56" s="71" t="str">
        <f>IF(TRIM(E56)&lt;&gt;"",COUNTA(E$11:$E56)&amp;"","")</f>
        <v>17</v>
      </c>
      <c r="B56" s="34"/>
      <c r="C56" s="56" t="s">
        <v>523</v>
      </c>
      <c r="D56" s="73" t="e">
        <f>SUMIF('[1]Lumber Breakdown'!$E$43:$E$267,'Material List'!C56,'[1]Lumber Breakdown'!$I$43:$I$267)</f>
        <v>#VALUE!</v>
      </c>
      <c r="E56" s="74" t="s">
        <v>192</v>
      </c>
    </row>
    <row r="57" spans="1:5" x14ac:dyDescent="0.35">
      <c r="A57" s="71" t="str">
        <f>IF(TRIM(E57)&lt;&gt;"",COUNTA(E$11:$E57)&amp;"","")</f>
        <v/>
      </c>
      <c r="B57" s="34"/>
      <c r="C57" s="56"/>
      <c r="D57" s="73"/>
      <c r="E57" s="74"/>
    </row>
    <row r="58" spans="1:5" x14ac:dyDescent="0.35">
      <c r="A58" s="71" t="str">
        <f>IF(TRIM(E58)&lt;&gt;"",COUNTA(E$11:$E58)&amp;"","")</f>
        <v>18</v>
      </c>
      <c r="B58" s="34"/>
      <c r="C58" s="56" t="s">
        <v>524</v>
      </c>
      <c r="D58" s="73" t="e">
        <f>SUMIF('[1]Lumber Breakdown'!$E$43:$E$267,'Material List'!C58,'[1]Lumber Breakdown'!$I$43:$I$267)</f>
        <v>#VALUE!</v>
      </c>
      <c r="E58" s="74" t="s">
        <v>192</v>
      </c>
    </row>
    <row r="59" spans="1:5" x14ac:dyDescent="0.35">
      <c r="A59" s="71" t="str">
        <f>IF(TRIM(E59)&lt;&gt;"",COUNTA(E$11:$E59)&amp;"","")</f>
        <v>19</v>
      </c>
      <c r="B59" s="34"/>
      <c r="C59" s="56" t="s">
        <v>521</v>
      </c>
      <c r="D59" s="73" t="e">
        <f>SUMIF('[1]Lumber Breakdown'!$E$43:$E$267,'Material List'!C59,'[1]Lumber Breakdown'!$I$43:$I$267)</f>
        <v>#VALUE!</v>
      </c>
      <c r="E59" s="74" t="s">
        <v>192</v>
      </c>
    </row>
    <row r="60" spans="1:5" x14ac:dyDescent="0.35">
      <c r="A60" s="71" t="str">
        <f>IF(TRIM(E60)&lt;&gt;"",COUNTA(E$11:$E60)&amp;"","")</f>
        <v>20</v>
      </c>
      <c r="B60" s="34"/>
      <c r="C60" s="56" t="s">
        <v>522</v>
      </c>
      <c r="D60" s="73" t="e">
        <f>SUMIF('[1]Lumber Breakdown'!$E$43:$E$267,'Material List'!C60,'[1]Lumber Breakdown'!$I$43:$I$267)</f>
        <v>#VALUE!</v>
      </c>
      <c r="E60" s="74" t="s">
        <v>192</v>
      </c>
    </row>
    <row r="61" spans="1:5" x14ac:dyDescent="0.35">
      <c r="A61" s="71" t="str">
        <f>IF(TRIM(E61)&lt;&gt;"",COUNTA(E$11:$E61)&amp;"","")</f>
        <v/>
      </c>
      <c r="B61" s="34"/>
      <c r="C61" s="56"/>
      <c r="D61" s="73"/>
      <c r="E61" s="74"/>
    </row>
    <row r="62" spans="1:5" x14ac:dyDescent="0.35">
      <c r="A62" s="71" t="str">
        <f>IF(TRIM(E62)&lt;&gt;"",COUNTA(E$11:$E62)&amp;"","")</f>
        <v>21</v>
      </c>
      <c r="B62" s="34"/>
      <c r="C62" s="56" t="s">
        <v>518</v>
      </c>
      <c r="D62" s="73" t="e">
        <f>SUMIF('[1]Lumber Breakdown'!$E$43:$E$267,'Material List'!C62,'[1]Lumber Breakdown'!$I$43:$I$267)</f>
        <v>#VALUE!</v>
      </c>
      <c r="E62" s="74" t="s">
        <v>192</v>
      </c>
    </row>
    <row r="63" spans="1:5" x14ac:dyDescent="0.35">
      <c r="A63" s="71" t="str">
        <f>IF(TRIM(E63)&lt;&gt;"",COUNTA(E$11:$E63)&amp;"","")</f>
        <v/>
      </c>
      <c r="B63" s="34"/>
      <c r="C63" s="56"/>
      <c r="D63" s="73"/>
      <c r="E63" s="74"/>
    </row>
    <row r="64" spans="1:5" x14ac:dyDescent="0.35">
      <c r="A64" s="71" t="str">
        <f>IF(TRIM(E64)&lt;&gt;"",COUNTA(E$11:$E64)&amp;"","")</f>
        <v>22</v>
      </c>
      <c r="B64" s="34"/>
      <c r="C64" s="56" t="s">
        <v>526</v>
      </c>
      <c r="D64" s="73" t="e">
        <f>SUMIF('[1]Lumber Breakdown'!$E$43:$E$267,'Material List'!C64,'[1]Lumber Breakdown'!$I$43:$I$267)</f>
        <v>#VALUE!</v>
      </c>
      <c r="E64" s="74" t="s">
        <v>192</v>
      </c>
    </row>
    <row r="65" spans="1:5" x14ac:dyDescent="0.35">
      <c r="A65" s="71" t="str">
        <f>IF(TRIM(E65)&lt;&gt;"",COUNTA(E$11:$E65)&amp;"","")</f>
        <v>23</v>
      </c>
      <c r="B65" s="34"/>
      <c r="C65" s="56" t="s">
        <v>517</v>
      </c>
      <c r="D65" s="73" t="e">
        <f>SUMIF('[1]Lumber Breakdown'!$E$43:$E$267,'Material List'!C65,'[1]Lumber Breakdown'!$I$43:$I$267)</f>
        <v>#VALUE!</v>
      </c>
      <c r="E65" s="74" t="s">
        <v>192</v>
      </c>
    </row>
    <row r="66" spans="1:5" x14ac:dyDescent="0.35">
      <c r="A66" s="71" t="str">
        <f>IF(TRIM(E66)&lt;&gt;"",COUNTA(E$11:$E66)&amp;"","")</f>
        <v>24</v>
      </c>
      <c r="B66" s="34"/>
      <c r="C66" s="56" t="s">
        <v>516</v>
      </c>
      <c r="D66" s="73" t="e">
        <f>SUMIF('[1]Lumber Breakdown'!$E$43:$E$267,'Material List'!C66,'[1]Lumber Breakdown'!$I$43:$I$267)</f>
        <v>#VALUE!</v>
      </c>
      <c r="E66" s="74" t="s">
        <v>192</v>
      </c>
    </row>
    <row r="67" spans="1:5" x14ac:dyDescent="0.35">
      <c r="A67" s="71" t="str">
        <f>IF(TRIM(E67)&lt;&gt;"",COUNTA(E$11:$E67)&amp;"","")</f>
        <v/>
      </c>
      <c r="B67" s="34"/>
      <c r="C67" s="56"/>
      <c r="D67" s="73"/>
      <c r="E67" s="74"/>
    </row>
    <row r="68" spans="1:5" x14ac:dyDescent="0.35">
      <c r="A68" s="71" t="str">
        <f>IF(TRIM(E68)&lt;&gt;"",COUNTA(E$11:$E68)&amp;"","")</f>
        <v>25</v>
      </c>
      <c r="B68" s="34"/>
      <c r="C68" s="56" t="s">
        <v>533</v>
      </c>
      <c r="D68" s="73" t="e">
        <f>SUMIF('[1]Lumber Breakdown'!$E$43:$E$267,'Material List'!C68,'[1]Lumber Breakdown'!$I$43:$I$267)</f>
        <v>#VALUE!</v>
      </c>
      <c r="E68" s="74" t="s">
        <v>192</v>
      </c>
    </row>
    <row r="69" spans="1:5" x14ac:dyDescent="0.35">
      <c r="A69" s="71" t="str">
        <f>IF(TRIM(E69)&lt;&gt;"",COUNTA(E$11:$E69)&amp;"","")</f>
        <v>26</v>
      </c>
      <c r="B69" s="34"/>
      <c r="C69" s="56" t="s">
        <v>557</v>
      </c>
      <c r="D69" s="73" t="e">
        <f>SUMIF('[1]Lumber Breakdown'!$E$43:$E$267,'Material List'!C69,'[1]Lumber Breakdown'!$I$43:$I$267)</f>
        <v>#VALUE!</v>
      </c>
      <c r="E69" s="74" t="s">
        <v>192</v>
      </c>
    </row>
    <row r="70" spans="1:5" x14ac:dyDescent="0.35">
      <c r="A70" s="71" t="str">
        <f>IF(TRIM(E70)&lt;&gt;"",COUNTA(E$11:$E70)&amp;"","")</f>
        <v>27</v>
      </c>
      <c r="B70" s="34"/>
      <c r="C70" s="56" t="s">
        <v>598</v>
      </c>
      <c r="D70" s="73" t="e">
        <f>SUMIF('[1]Lumber Breakdown'!$E$43:$E$267,'Material List'!C70,'[1]Lumber Breakdown'!$I$43:$I$267)</f>
        <v>#VALUE!</v>
      </c>
      <c r="E70" s="74" t="s">
        <v>192</v>
      </c>
    </row>
    <row r="71" spans="1:5" x14ac:dyDescent="0.35">
      <c r="A71" s="71" t="str">
        <f>IF(TRIM(E71)&lt;&gt;"",COUNTA(E$11:$E71)&amp;"","")</f>
        <v/>
      </c>
      <c r="B71" s="34"/>
      <c r="C71" s="56"/>
      <c r="D71" s="73"/>
      <c r="E71" s="74"/>
    </row>
    <row r="72" spans="1:5" x14ac:dyDescent="0.35">
      <c r="A72" s="71" t="str">
        <f>IF(TRIM(E72)&lt;&gt;"",COUNTA(E$11:$E72)&amp;"","")</f>
        <v>28</v>
      </c>
      <c r="B72" s="34"/>
      <c r="C72" s="56" t="s">
        <v>532</v>
      </c>
      <c r="D72" s="73" t="e">
        <f>SUMIF('[1]Lumber Breakdown'!$E$43:$E$267,'Material List'!C72,'[1]Lumber Breakdown'!$I$43:$I$267)</f>
        <v>#VALUE!</v>
      </c>
      <c r="E72" s="74" t="s">
        <v>192</v>
      </c>
    </row>
    <row r="73" spans="1:5" x14ac:dyDescent="0.35">
      <c r="A73" s="71" t="str">
        <f>IF(TRIM(E73)&lt;&gt;"",COUNTA(E$11:$E73)&amp;"","")</f>
        <v>29</v>
      </c>
      <c r="B73" s="34"/>
      <c r="C73" s="56" t="s">
        <v>555</v>
      </c>
      <c r="D73" s="73" t="e">
        <f>SUMIF('[1]Lumber Breakdown'!$E$43:$E$267,'Material List'!C73,'[1]Lumber Breakdown'!$I$43:$I$267)</f>
        <v>#VALUE!</v>
      </c>
      <c r="E73" s="74" t="s">
        <v>192</v>
      </c>
    </row>
    <row r="74" spans="1:5" x14ac:dyDescent="0.35">
      <c r="A74" s="71" t="str">
        <f>IF(TRIM(E74)&lt;&gt;"",COUNTA(E$11:$E74)&amp;"","")</f>
        <v>30</v>
      </c>
      <c r="B74" s="34"/>
      <c r="C74" s="56" t="s">
        <v>556</v>
      </c>
      <c r="D74" s="73" t="e">
        <f>SUMIF('[1]Lumber Breakdown'!$E$43:$E$267,'Material List'!C74,'[1]Lumber Breakdown'!$I$43:$I$267)</f>
        <v>#VALUE!</v>
      </c>
      <c r="E74" s="74" t="s">
        <v>192</v>
      </c>
    </row>
    <row r="75" spans="1:5" x14ac:dyDescent="0.35">
      <c r="A75" s="71" t="str">
        <f>IF(TRIM(E75)&lt;&gt;"",COUNTA(E$11:$E75)&amp;"","")</f>
        <v>31</v>
      </c>
      <c r="B75" s="34"/>
      <c r="C75" s="56" t="s">
        <v>573</v>
      </c>
      <c r="D75" s="73" t="e">
        <f>SUMIF('[1]Lumber Breakdown'!$E$43:$E$267,'Material List'!C75,'[1]Lumber Breakdown'!$I$43:$I$267)</f>
        <v>#VALUE!</v>
      </c>
      <c r="E75" s="74" t="s">
        <v>192</v>
      </c>
    </row>
    <row r="76" spans="1:5" x14ac:dyDescent="0.35">
      <c r="A76" s="71" t="str">
        <f>IF(TRIM(E76)&lt;&gt;"",COUNTA(E$11:$E76)&amp;"","")</f>
        <v/>
      </c>
      <c r="B76" s="34"/>
      <c r="C76" s="56"/>
      <c r="D76" s="73"/>
      <c r="E76" s="74"/>
    </row>
    <row r="77" spans="1:5" x14ac:dyDescent="0.35">
      <c r="A77" s="71" t="str">
        <f>IF(TRIM(E77)&lt;&gt;"",COUNTA(E$11:$E77)&amp;"","")</f>
        <v>32</v>
      </c>
      <c r="B77" s="34"/>
      <c r="C77" s="56" t="s">
        <v>589</v>
      </c>
      <c r="D77" s="73" t="e">
        <f>SUMIF('[1]Lumber Breakdown'!$E$43:$E$267,'Material List'!C77,'[1]Lumber Breakdown'!$I$43:$I$267)</f>
        <v>#VALUE!</v>
      </c>
      <c r="E77" s="74" t="s">
        <v>192</v>
      </c>
    </row>
    <row r="78" spans="1:5" x14ac:dyDescent="0.35">
      <c r="A78" s="71" t="str">
        <f>IF(TRIM(E78)&lt;&gt;"",COUNTA(E$11:$E78)&amp;"","")</f>
        <v/>
      </c>
      <c r="B78" s="34"/>
      <c r="C78" s="56"/>
      <c r="D78" s="73"/>
      <c r="E78" s="74"/>
    </row>
    <row r="79" spans="1:5" x14ac:dyDescent="0.35">
      <c r="A79" s="71" t="str">
        <f>IF(TRIM(E79)&lt;&gt;"",COUNTA(E$11:$E79)&amp;"","")</f>
        <v>33</v>
      </c>
      <c r="B79" s="34"/>
      <c r="C79" s="56" t="s">
        <v>586</v>
      </c>
      <c r="D79" s="73" t="e">
        <f>SUMIF('[1]Lumber Breakdown'!$E$43:$E$267,'Material List'!C79,'[1]Lumber Breakdown'!$I$43:$I$267)</f>
        <v>#VALUE!</v>
      </c>
      <c r="E79" s="74" t="s">
        <v>192</v>
      </c>
    </row>
    <row r="80" spans="1:5" x14ac:dyDescent="0.35">
      <c r="A80" s="71" t="str">
        <f>IF(TRIM(E80)&lt;&gt;"",COUNTA(E$11:$E80)&amp;"","")</f>
        <v>34</v>
      </c>
      <c r="B80" s="34"/>
      <c r="C80" s="56" t="s">
        <v>587</v>
      </c>
      <c r="D80" s="73" t="e">
        <f>SUMIF('[1]Lumber Breakdown'!$E$43:$E$267,'Material List'!C80,'[1]Lumber Breakdown'!$I$43:$I$267)</f>
        <v>#VALUE!</v>
      </c>
      <c r="E80" s="74" t="s">
        <v>192</v>
      </c>
    </row>
    <row r="81" spans="1:5" x14ac:dyDescent="0.35">
      <c r="A81" s="71" t="str">
        <f>IF(TRIM(E81)&lt;&gt;"",COUNTA(E$11:$E81)&amp;"","")</f>
        <v/>
      </c>
      <c r="B81" s="34"/>
      <c r="C81" s="56"/>
      <c r="D81" s="73"/>
      <c r="E81" s="74"/>
    </row>
    <row r="82" spans="1:5" x14ac:dyDescent="0.35">
      <c r="A82" s="71" t="str">
        <f>IF(TRIM(E82)&lt;&gt;"",COUNTA(E$11:$E82)&amp;"","")</f>
        <v>35</v>
      </c>
      <c r="B82" s="34"/>
      <c r="C82" s="56" t="s">
        <v>596</v>
      </c>
      <c r="D82" s="73" t="e">
        <f>SUMIF('[1]Lumber Breakdown'!$E$43:$E$267,'Material List'!C82,'[1]Lumber Breakdown'!$I$43:$I$267)</f>
        <v>#VALUE!</v>
      </c>
      <c r="E82" s="74" t="s">
        <v>192</v>
      </c>
    </row>
    <row r="83" spans="1:5" x14ac:dyDescent="0.35">
      <c r="A83" s="71" t="str">
        <f>IF(TRIM(E83)&lt;&gt;"",COUNTA(E$11:$E83)&amp;"","")</f>
        <v/>
      </c>
      <c r="B83" s="34"/>
      <c r="C83" s="56"/>
      <c r="D83" s="73"/>
      <c r="E83" s="74"/>
    </row>
    <row r="84" spans="1:5" x14ac:dyDescent="0.35">
      <c r="A84" s="71" t="str">
        <f>IF(TRIM(E84)&lt;&gt;"",COUNTA(E$11:$E84)&amp;"","")</f>
        <v>36</v>
      </c>
      <c r="B84" s="34"/>
      <c r="C84" s="56" t="s">
        <v>567</v>
      </c>
      <c r="D84" s="73" t="e">
        <f>SUMIF('[1]Lumber Breakdown'!$E$43:$E$267,'Material List'!C84,'[1]Lumber Breakdown'!$I$43:$I$267)</f>
        <v>#VALUE!</v>
      </c>
      <c r="E84" s="74" t="s">
        <v>192</v>
      </c>
    </row>
    <row r="85" spans="1:5" x14ac:dyDescent="0.35">
      <c r="A85" s="71" t="str">
        <f>IF(TRIM(E85)&lt;&gt;"",COUNTA(E$11:$E85)&amp;"","")</f>
        <v/>
      </c>
      <c r="B85" s="34"/>
      <c r="C85" s="56"/>
      <c r="D85" s="73"/>
      <c r="E85" s="74"/>
    </row>
    <row r="86" spans="1:5" x14ac:dyDescent="0.35">
      <c r="A86" s="71" t="str">
        <f>IF(TRIM(E86)&lt;&gt;"",COUNTA(E$11:$E86)&amp;"","")</f>
        <v>37</v>
      </c>
      <c r="B86" s="34"/>
      <c r="C86" s="56" t="s">
        <v>580</v>
      </c>
      <c r="D86" s="73" t="e">
        <f>SUMIF('[1]Lumber Breakdown'!$E$43:$E$267,'Material List'!C86,'[1]Lumber Breakdown'!$I$43:$I$267)</f>
        <v>#VALUE!</v>
      </c>
      <c r="E86" s="74" t="s">
        <v>192</v>
      </c>
    </row>
    <row r="87" spans="1:5" x14ac:dyDescent="0.35">
      <c r="A87" s="71" t="str">
        <f>IF(TRIM(E87)&lt;&gt;"",COUNTA(E$11:$E87)&amp;"","")</f>
        <v>38</v>
      </c>
      <c r="B87" s="34"/>
      <c r="C87" s="56" t="s">
        <v>579</v>
      </c>
      <c r="D87" s="73" t="e">
        <f>SUMIF('[1]Lumber Breakdown'!$E$43:$E$267,'Material List'!C87,'[1]Lumber Breakdown'!$I$43:$I$267)</f>
        <v>#VALUE!</v>
      </c>
      <c r="E87" s="74" t="s">
        <v>192</v>
      </c>
    </row>
    <row r="88" spans="1:5" x14ac:dyDescent="0.35">
      <c r="A88" s="71" t="str">
        <f>IF(TRIM(E88)&lt;&gt;"",COUNTA(E$11:$E88)&amp;"","")</f>
        <v/>
      </c>
      <c r="B88" s="34"/>
      <c r="C88" s="56"/>
      <c r="D88" s="73"/>
      <c r="E88" s="74"/>
    </row>
    <row r="89" spans="1:5" x14ac:dyDescent="0.35">
      <c r="A89" s="71" t="str">
        <f>IF(TRIM(E89)&lt;&gt;"",COUNTA(E$11:$E89)&amp;"","")</f>
        <v>39</v>
      </c>
      <c r="B89" s="34"/>
      <c r="C89" s="56" t="s">
        <v>534</v>
      </c>
      <c r="D89" s="73" t="e">
        <f>SUMIF('[1]Lumber Breakdown'!$E$43:$E$267,'Material List'!C89,'[1]Lumber Breakdown'!$I$43:$I$267)</f>
        <v>#VALUE!</v>
      </c>
      <c r="E89" s="74" t="s">
        <v>192</v>
      </c>
    </row>
    <row r="90" spans="1:5" x14ac:dyDescent="0.35">
      <c r="A90" s="71" t="str">
        <f>IF(TRIM(E90)&lt;&gt;"",COUNTA(E$11:$E90)&amp;"","")</f>
        <v/>
      </c>
      <c r="B90" s="34"/>
      <c r="C90" s="56"/>
      <c r="D90" s="73"/>
      <c r="E90" s="74"/>
    </row>
    <row r="91" spans="1:5" x14ac:dyDescent="0.35">
      <c r="A91" s="71" t="str">
        <f>IF(TRIM(E91)&lt;&gt;"",COUNTA(E$11:$E91)&amp;"","")</f>
        <v>40</v>
      </c>
      <c r="B91" s="34"/>
      <c r="C91" s="56" t="s">
        <v>553</v>
      </c>
      <c r="D91" s="73" t="e">
        <f>SUMIF('[1]Lumber Breakdown'!$E$43:$E$267,'Material List'!C91,'[1]Lumber Breakdown'!$I$43:$I$267)</f>
        <v>#VALUE!</v>
      </c>
      <c r="E91" s="74" t="s">
        <v>192</v>
      </c>
    </row>
    <row r="92" spans="1:5" x14ac:dyDescent="0.35">
      <c r="A92" s="71" t="str">
        <f>IF(TRIM(E92)&lt;&gt;"",COUNTA(E$11:$E92)&amp;"","")</f>
        <v>41</v>
      </c>
      <c r="B92" s="34"/>
      <c r="C92" s="56" t="s">
        <v>548</v>
      </c>
      <c r="D92" s="73" t="e">
        <f>SUMIF('[1]Lumber Breakdown'!$E$43:$E$267,'Material List'!C92,'[1]Lumber Breakdown'!$I$43:$I$267)</f>
        <v>#VALUE!</v>
      </c>
      <c r="E92" s="74" t="s">
        <v>192</v>
      </c>
    </row>
    <row r="93" spans="1:5" x14ac:dyDescent="0.35">
      <c r="A93" s="71" t="str">
        <f>IF(TRIM(E93)&lt;&gt;"",COUNTA(E$11:$E93)&amp;"","")</f>
        <v>42</v>
      </c>
      <c r="B93" s="34"/>
      <c r="C93" s="56" t="s">
        <v>552</v>
      </c>
      <c r="D93" s="73" t="e">
        <f>SUMIF('[1]Lumber Breakdown'!$E$43:$E$267,'Material List'!C93,'[1]Lumber Breakdown'!$I$43:$I$267)</f>
        <v>#VALUE!</v>
      </c>
      <c r="E93" s="74" t="s">
        <v>192</v>
      </c>
    </row>
    <row r="94" spans="1:5" x14ac:dyDescent="0.35">
      <c r="A94" s="71" t="str">
        <f>IF(TRIM(E94)&lt;&gt;"",COUNTA(E$11:$E94)&amp;"","")</f>
        <v>43</v>
      </c>
      <c r="B94" s="34"/>
      <c r="C94" s="56" t="s">
        <v>572</v>
      </c>
      <c r="D94" s="73" t="e">
        <f>SUMIF('[1]Lumber Breakdown'!$E$43:$E$267,'Material List'!C94,'[1]Lumber Breakdown'!$I$43:$I$267)</f>
        <v>#VALUE!</v>
      </c>
      <c r="E94" s="74" t="s">
        <v>192</v>
      </c>
    </row>
    <row r="95" spans="1:5" x14ac:dyDescent="0.35">
      <c r="A95" s="71" t="str">
        <f>IF(TRIM(E95)&lt;&gt;"",COUNTA(E$11:$E95)&amp;"","")</f>
        <v>44</v>
      </c>
      <c r="B95" s="34"/>
      <c r="C95" s="56" t="s">
        <v>551</v>
      </c>
      <c r="D95" s="73" t="e">
        <f>SUMIF('[1]Lumber Breakdown'!$E$43:$E$267,'Material List'!C95,'[1]Lumber Breakdown'!$I$43:$I$267)</f>
        <v>#VALUE!</v>
      </c>
      <c r="E95" s="74" t="s">
        <v>192</v>
      </c>
    </row>
    <row r="96" spans="1:5" x14ac:dyDescent="0.35">
      <c r="A96" s="71" t="str">
        <f>IF(TRIM(E96)&lt;&gt;"",COUNTA(E$11:$E96)&amp;"","")</f>
        <v>45</v>
      </c>
      <c r="B96" s="34"/>
      <c r="C96" s="56" t="s">
        <v>527</v>
      </c>
      <c r="D96" s="73" t="e">
        <f>SUMIF('[1]Lumber Breakdown'!$E$43:$E$267,'Material List'!C96,'[1]Lumber Breakdown'!$I$43:$I$267)</f>
        <v>#VALUE!</v>
      </c>
      <c r="E96" s="74" t="s">
        <v>192</v>
      </c>
    </row>
    <row r="97" spans="1:5" x14ac:dyDescent="0.35">
      <c r="A97" s="71" t="str">
        <f>IF(TRIM(E97)&lt;&gt;"",COUNTA(E$11:$E97)&amp;"","")</f>
        <v>46</v>
      </c>
      <c r="B97" s="34"/>
      <c r="C97" s="56" t="s">
        <v>549</v>
      </c>
      <c r="D97" s="73" t="e">
        <f>SUMIF('[1]Lumber Breakdown'!$E$43:$E$267,'Material List'!C97,'[1]Lumber Breakdown'!$I$43:$I$267)</f>
        <v>#VALUE!</v>
      </c>
      <c r="E97" s="74" t="s">
        <v>192</v>
      </c>
    </row>
    <row r="98" spans="1:5" x14ac:dyDescent="0.35">
      <c r="A98" s="71" t="str">
        <f>IF(TRIM(E98)&lt;&gt;"",COUNTA(E$11:$E98)&amp;"","")</f>
        <v>47</v>
      </c>
      <c r="B98" s="34"/>
      <c r="C98" s="56" t="s">
        <v>554</v>
      </c>
      <c r="D98" s="73" t="e">
        <f>SUMIF('[1]Lumber Breakdown'!$E$43:$E$267,'Material List'!C98,'[1]Lumber Breakdown'!$I$43:$I$267)</f>
        <v>#VALUE!</v>
      </c>
      <c r="E98" s="74" t="s">
        <v>192</v>
      </c>
    </row>
    <row r="99" spans="1:5" x14ac:dyDescent="0.35">
      <c r="A99" s="71" t="str">
        <f>IF(TRIM(E99)&lt;&gt;"",COUNTA(E$11:$E99)&amp;"","")</f>
        <v/>
      </c>
      <c r="B99" s="34"/>
      <c r="C99" s="56"/>
      <c r="D99" s="73"/>
      <c r="E99" s="74"/>
    </row>
    <row r="100" spans="1:5" x14ac:dyDescent="0.35">
      <c r="A100" s="71" t="str">
        <f>IF(TRIM(E100)&lt;&gt;"",COUNTA(E$11:$E100)&amp;"","")</f>
        <v>48</v>
      </c>
      <c r="B100" s="34"/>
      <c r="C100" s="56" t="s">
        <v>529</v>
      </c>
      <c r="D100" s="73" t="e">
        <f>SUMIF('[1]Lumber Breakdown'!$E$43:$E$267,'Material List'!C100,'[1]Lumber Breakdown'!$I$43:$I$267)</f>
        <v>#VALUE!</v>
      </c>
      <c r="E100" s="74" t="s">
        <v>192</v>
      </c>
    </row>
    <row r="101" spans="1:5" x14ac:dyDescent="0.35">
      <c r="A101" s="71" t="str">
        <f>IF(TRIM(E101)&lt;&gt;"",COUNTA(E$11:$E101)&amp;"","")</f>
        <v>49</v>
      </c>
      <c r="B101" s="34"/>
      <c r="C101" s="56" t="s">
        <v>530</v>
      </c>
      <c r="D101" s="73" t="e">
        <f>SUMIF('[1]Lumber Breakdown'!$E$43:$E$267,'Material List'!C101,'[1]Lumber Breakdown'!$I$43:$I$267)</f>
        <v>#VALUE!</v>
      </c>
      <c r="E101" s="74" t="s">
        <v>192</v>
      </c>
    </row>
    <row r="102" spans="1:5" x14ac:dyDescent="0.35">
      <c r="A102" s="71" t="str">
        <f>IF(TRIM(E102)&lt;&gt;"",COUNTA(E$11:$E102)&amp;"","")</f>
        <v/>
      </c>
      <c r="B102" s="34"/>
      <c r="C102" s="56"/>
      <c r="D102" s="73"/>
      <c r="E102" s="74"/>
    </row>
    <row r="103" spans="1:5" x14ac:dyDescent="0.35">
      <c r="A103" s="71" t="str">
        <f>IF(TRIM(E103)&lt;&gt;"",COUNTA(E$11:$E103)&amp;"","")</f>
        <v>50</v>
      </c>
      <c r="B103" s="34"/>
      <c r="C103" s="56" t="s">
        <v>561</v>
      </c>
      <c r="D103" s="73" t="e">
        <f>SUMIF('[1]Lumber Breakdown'!$E$43:$E$267,'Material List'!C103,'[1]Lumber Breakdown'!$I$43:$I$267)</f>
        <v>#VALUE!</v>
      </c>
      <c r="E103" s="74" t="s">
        <v>192</v>
      </c>
    </row>
    <row r="104" spans="1:5" x14ac:dyDescent="0.35">
      <c r="A104" s="71" t="str">
        <f>IF(TRIM(E104)&lt;&gt;"",COUNTA(E$11:$E104)&amp;"","")</f>
        <v>51</v>
      </c>
      <c r="B104" s="34"/>
      <c r="C104" s="56" t="s">
        <v>562</v>
      </c>
      <c r="D104" s="73" t="e">
        <f>SUMIF('[1]Lumber Breakdown'!$E$43:$E$267,'Material List'!C104,'[1]Lumber Breakdown'!$I$43:$I$267)</f>
        <v>#VALUE!</v>
      </c>
      <c r="E104" s="74" t="s">
        <v>192</v>
      </c>
    </row>
    <row r="105" spans="1:5" x14ac:dyDescent="0.35">
      <c r="A105" s="71" t="str">
        <f>IF(TRIM(E105)&lt;&gt;"",COUNTA(E$11:$E105)&amp;"","")</f>
        <v>52</v>
      </c>
      <c r="B105" s="34"/>
      <c r="C105" s="56" t="s">
        <v>563</v>
      </c>
      <c r="D105" s="73" t="e">
        <f>SUMIF('[1]Lumber Breakdown'!$E$43:$E$267,'Material List'!C105,'[1]Lumber Breakdown'!$I$43:$I$267)</f>
        <v>#VALUE!</v>
      </c>
      <c r="E105" s="74" t="s">
        <v>192</v>
      </c>
    </row>
    <row r="106" spans="1:5" x14ac:dyDescent="0.35">
      <c r="A106" s="71" t="str">
        <f>IF(TRIM(E106)&lt;&gt;"",COUNTA(E$11:$E106)&amp;"","")</f>
        <v>53</v>
      </c>
      <c r="B106" s="34"/>
      <c r="C106" s="56" t="s">
        <v>565</v>
      </c>
      <c r="D106" s="73" t="e">
        <f>SUMIF('[1]Lumber Breakdown'!$E$43:$E$267,'Material List'!C106,'[1]Lumber Breakdown'!$I$43:$I$267)</f>
        <v>#VALUE!</v>
      </c>
      <c r="E106" s="74" t="s">
        <v>192</v>
      </c>
    </row>
    <row r="107" spans="1:5" x14ac:dyDescent="0.35">
      <c r="A107" s="71" t="str">
        <f>IF(TRIM(E107)&lt;&gt;"",COUNTA(E$11:$E107)&amp;"","")</f>
        <v>54</v>
      </c>
      <c r="B107" s="34"/>
      <c r="C107" s="56" t="s">
        <v>560</v>
      </c>
      <c r="D107" s="73" t="e">
        <f>SUMIF('[1]Lumber Breakdown'!$E$43:$E$267,'Material List'!C107,'[1]Lumber Breakdown'!$I$43:$I$267)</f>
        <v>#VALUE!</v>
      </c>
      <c r="E107" s="74" t="s">
        <v>192</v>
      </c>
    </row>
    <row r="108" spans="1:5" x14ac:dyDescent="0.35">
      <c r="A108" s="71" t="str">
        <f>IF(TRIM(E108)&lt;&gt;"",COUNTA(E$11:$E108)&amp;"","")</f>
        <v>55</v>
      </c>
      <c r="B108" s="34"/>
      <c r="C108" s="56" t="s">
        <v>564</v>
      </c>
      <c r="D108" s="73" t="e">
        <f>SUMIF('[1]Lumber Breakdown'!$E$43:$E$267,'Material List'!C108,'[1]Lumber Breakdown'!$I$43:$I$267)</f>
        <v>#VALUE!</v>
      </c>
      <c r="E108" s="74" t="s">
        <v>192</v>
      </c>
    </row>
    <row r="109" spans="1:5" x14ac:dyDescent="0.35">
      <c r="A109" s="71" t="str">
        <f>IF(TRIM(E109)&lt;&gt;"",COUNTA(E$11:$E109)&amp;"","")</f>
        <v>56</v>
      </c>
      <c r="B109" s="34"/>
      <c r="C109" s="56" t="s">
        <v>559</v>
      </c>
      <c r="D109" s="73" t="e">
        <f>SUMIF('[1]Lumber Breakdown'!$E$43:$E$267,'Material List'!C109,'[1]Lumber Breakdown'!$I$43:$I$267)</f>
        <v>#VALUE!</v>
      </c>
      <c r="E109" s="74" t="s">
        <v>192</v>
      </c>
    </row>
    <row r="110" spans="1:5" x14ac:dyDescent="0.35">
      <c r="A110" s="71" t="str">
        <f>IF(TRIM(E110)&lt;&gt;"",COUNTA(E$11:$E110)&amp;"","")</f>
        <v>57</v>
      </c>
      <c r="B110" s="34"/>
      <c r="C110" s="56" t="s">
        <v>575</v>
      </c>
      <c r="D110" s="73" t="e">
        <f>SUMIF('[1]Lumber Breakdown'!$E$43:$E$267,'Material List'!C110,'[1]Lumber Breakdown'!$I$43:$I$267)</f>
        <v>#VALUE!</v>
      </c>
      <c r="E110" s="74" t="s">
        <v>192</v>
      </c>
    </row>
    <row r="111" spans="1:5" x14ac:dyDescent="0.35">
      <c r="A111" s="71" t="str">
        <f>IF(TRIM(E111)&lt;&gt;"",COUNTA(E$11:$E111)&amp;"","")</f>
        <v/>
      </c>
      <c r="B111" s="34"/>
      <c r="C111" s="56"/>
      <c r="D111" s="73"/>
      <c r="E111" s="74"/>
    </row>
    <row r="112" spans="1:5" x14ac:dyDescent="0.35">
      <c r="A112" s="71" t="str">
        <f>IF(TRIM(E112)&lt;&gt;"",COUNTA(E$11:$E112)&amp;"","")</f>
        <v>58</v>
      </c>
      <c r="B112" s="34"/>
      <c r="C112" s="56" t="s">
        <v>659</v>
      </c>
      <c r="D112" s="73" t="e">
        <f>SUMIF('[1]Lumber Breakdown'!$E$43:$E$267,'Material List'!C112,'[1]Lumber Breakdown'!$I$43:$I$267)</f>
        <v>#VALUE!</v>
      </c>
      <c r="E112" s="74" t="s">
        <v>192</v>
      </c>
    </row>
    <row r="113" spans="1:5" x14ac:dyDescent="0.35">
      <c r="A113" s="71" t="str">
        <f>IF(TRIM(E113)&lt;&gt;"",COUNTA(E$11:$E113)&amp;"","")</f>
        <v>59</v>
      </c>
      <c r="B113" s="34"/>
      <c r="C113" s="56" t="s">
        <v>541</v>
      </c>
      <c r="D113" s="73" t="e">
        <f>SUMIF('[1]Lumber Breakdown'!$E$43:$E$267,'Material List'!C113,'[1]Lumber Breakdown'!$I$43:$I$267)</f>
        <v>#VALUE!</v>
      </c>
      <c r="E113" s="74" t="s">
        <v>192</v>
      </c>
    </row>
    <row r="114" spans="1:5" s="2" customFormat="1" ht="16" thickBot="1" x14ac:dyDescent="0.4">
      <c r="A114" s="84" t="str">
        <f>IF(TRIM(E114)&lt;&gt;"",COUNTA(E$11:$E114)&amp;"","")</f>
        <v/>
      </c>
      <c r="B114" s="20"/>
      <c r="C114" s="19"/>
      <c r="D114" s="179"/>
      <c r="E114" s="190"/>
    </row>
    <row r="115" spans="1:5" ht="25" customHeight="1" thickBot="1" x14ac:dyDescent="0.4">
      <c r="A115" s="181" t="str">
        <f>IF(TRIM(E115)&lt;&gt;"",COUNTA(E$11:$E115)&amp;"","")</f>
        <v/>
      </c>
      <c r="B115" s="193" t="s">
        <v>116</v>
      </c>
      <c r="C115" s="193" t="s">
        <v>52</v>
      </c>
      <c r="D115" s="194"/>
      <c r="E115" s="184"/>
    </row>
    <row r="116" spans="1:5" s="18" customFormat="1" ht="19.149999999999999" customHeight="1" x14ac:dyDescent="0.35">
      <c r="A116" s="110" t="str">
        <f>IF(TRIM(E116)&lt;&gt;"",COUNTA(E$11:$E116)&amp;"","")</f>
        <v/>
      </c>
      <c r="B116" s="201" t="s">
        <v>73</v>
      </c>
      <c r="C116" s="203" t="s">
        <v>491</v>
      </c>
      <c r="D116" s="114"/>
      <c r="E116" s="115"/>
    </row>
    <row r="117" spans="1:5" x14ac:dyDescent="0.35">
      <c r="A117" s="71" t="str">
        <f>IF(TRIM(E117)&lt;&gt;"",COUNTA(E$11:$E117)&amp;"","")</f>
        <v>60</v>
      </c>
      <c r="B117" s="34"/>
      <c r="C117" s="69" t="s">
        <v>492</v>
      </c>
      <c r="D117" s="73">
        <v>1600.25</v>
      </c>
      <c r="E117" s="74" t="s">
        <v>141</v>
      </c>
    </row>
    <row r="118" spans="1:5" x14ac:dyDescent="0.35">
      <c r="A118" s="71" t="str">
        <f>IF(TRIM(E118)&lt;&gt;"",COUNTA(E$11:$E118)&amp;"","")</f>
        <v/>
      </c>
      <c r="B118" s="34"/>
      <c r="C118" s="69"/>
      <c r="D118" s="73"/>
      <c r="E118" s="74"/>
    </row>
    <row r="119" spans="1:5" s="18" customFormat="1" ht="19.149999999999999" customHeight="1" x14ac:dyDescent="0.35">
      <c r="A119" s="71" t="str">
        <f>IF(TRIM(E119)&lt;&gt;"",COUNTA(E$11:$E119)&amp;"","")</f>
        <v/>
      </c>
      <c r="B119" s="207" t="s">
        <v>75</v>
      </c>
      <c r="C119" s="205" t="s">
        <v>74</v>
      </c>
      <c r="D119" s="73"/>
      <c r="E119" s="74"/>
    </row>
    <row r="120" spans="1:5" ht="29" x14ac:dyDescent="0.35">
      <c r="A120" s="71" t="str">
        <f>IF(TRIM(E120)&lt;&gt;"",COUNTA(E$11:$E120)&amp;"","")</f>
        <v>61</v>
      </c>
      <c r="B120" s="34"/>
      <c r="C120" s="56" t="s">
        <v>493</v>
      </c>
      <c r="D120" s="73">
        <f>D117</f>
        <v>1600.25</v>
      </c>
      <c r="E120" s="74" t="s">
        <v>141</v>
      </c>
    </row>
    <row r="121" spans="1:5" x14ac:dyDescent="0.35">
      <c r="A121" s="71" t="str">
        <f>IF(TRIM(E121)&lt;&gt;"",COUNTA(E$11:$E121)&amp;"","")</f>
        <v/>
      </c>
      <c r="B121" s="34"/>
      <c r="C121" s="56"/>
      <c r="D121" s="73"/>
      <c r="E121" s="74"/>
    </row>
    <row r="122" spans="1:5" s="18" customFormat="1" ht="19.149999999999999" customHeight="1" x14ac:dyDescent="0.35">
      <c r="A122" s="71" t="str">
        <f>IF(TRIM(E122)&lt;&gt;"",COUNTA(E$11:$E122)&amp;"","")</f>
        <v/>
      </c>
      <c r="B122" s="207" t="s">
        <v>77</v>
      </c>
      <c r="C122" s="205" t="s">
        <v>76</v>
      </c>
      <c r="D122" s="73"/>
      <c r="E122" s="74"/>
    </row>
    <row r="123" spans="1:5" x14ac:dyDescent="0.35">
      <c r="A123" s="71" t="str">
        <f>IF(TRIM(E123)&lt;&gt;"",COUNTA(E$11:$E123)&amp;"","")</f>
        <v>62</v>
      </c>
      <c r="B123" s="34"/>
      <c r="C123" s="56" t="s">
        <v>229</v>
      </c>
      <c r="D123" s="73">
        <f>493+4487.42</f>
        <v>4980.42</v>
      </c>
      <c r="E123" s="74" t="s">
        <v>141</v>
      </c>
    </row>
    <row r="124" spans="1:5" x14ac:dyDescent="0.35">
      <c r="A124" s="71" t="str">
        <f>IF(TRIM(E124)&lt;&gt;"",COUNTA(E$11:$E124)&amp;"","")</f>
        <v>63</v>
      </c>
      <c r="B124" s="34"/>
      <c r="C124" s="56" t="s">
        <v>230</v>
      </c>
      <c r="D124" s="73">
        <v>2171.12</v>
      </c>
      <c r="E124" s="74" t="s">
        <v>141</v>
      </c>
    </row>
    <row r="125" spans="1:5" x14ac:dyDescent="0.35">
      <c r="A125" s="71" t="str">
        <f>IF(TRIM(E125)&lt;&gt;"",COUNTA(E$11:$E125)&amp;"","")</f>
        <v/>
      </c>
      <c r="B125" s="34"/>
      <c r="C125" s="56"/>
      <c r="D125" s="73"/>
      <c r="E125" s="74"/>
    </row>
    <row r="126" spans="1:5" s="18" customFormat="1" ht="19.149999999999999" customHeight="1" x14ac:dyDescent="0.35">
      <c r="A126" s="71" t="str">
        <f>IF(TRIM(E126)&lt;&gt;"",COUNTA(E$11:$E126)&amp;"","")</f>
        <v/>
      </c>
      <c r="B126" s="207" t="s">
        <v>78</v>
      </c>
      <c r="C126" s="205" t="s">
        <v>231</v>
      </c>
      <c r="D126" s="73"/>
      <c r="E126" s="74"/>
    </row>
    <row r="127" spans="1:5" x14ac:dyDescent="0.35">
      <c r="A127" s="71" t="str">
        <f>IF(TRIM(E127)&lt;&gt;"",COUNTA(E$11:$E127)&amp;"","")</f>
        <v>64</v>
      </c>
      <c r="B127" s="34"/>
      <c r="C127" s="56" t="s">
        <v>232</v>
      </c>
      <c r="D127" s="73">
        <v>355.79</v>
      </c>
      <c r="E127" s="74" t="s">
        <v>154</v>
      </c>
    </row>
    <row r="128" spans="1:5" x14ac:dyDescent="0.35">
      <c r="A128" s="71" t="str">
        <f>IF(TRIM(E128)&lt;&gt;"",COUNTA(E$11:$E128)&amp;"","")</f>
        <v>65</v>
      </c>
      <c r="B128" s="34"/>
      <c r="C128" s="56" t="s">
        <v>233</v>
      </c>
      <c r="D128" s="73">
        <v>424.69</v>
      </c>
      <c r="E128" s="74" t="s">
        <v>154</v>
      </c>
    </row>
    <row r="129" spans="1:5" x14ac:dyDescent="0.35">
      <c r="A129" s="71" t="str">
        <f>IF(TRIM(E129)&lt;&gt;"",COUNTA(E$11:$E129)&amp;"","")</f>
        <v>66</v>
      </c>
      <c r="B129" s="34"/>
      <c r="C129" s="56" t="s">
        <v>234</v>
      </c>
      <c r="D129" s="73">
        <v>402.85</v>
      </c>
      <c r="E129" s="74" t="s">
        <v>154</v>
      </c>
    </row>
    <row r="130" spans="1:5" x14ac:dyDescent="0.35">
      <c r="A130" s="52" t="str">
        <f>IF(TRIM(E130)&lt;&gt;"",COUNTA(E$11:$E130)&amp;"","")</f>
        <v/>
      </c>
    </row>
    <row r="131" spans="1:5" x14ac:dyDescent="0.35">
      <c r="A131" s="71" t="str">
        <f>IF(TRIM(E131)&lt;&gt;"",COUNTA(E$11:$E131)&amp;"","")</f>
        <v>67</v>
      </c>
      <c r="B131" s="34"/>
      <c r="C131" s="56" t="s">
        <v>235</v>
      </c>
      <c r="D131" s="73">
        <v>686.21</v>
      </c>
      <c r="E131" s="74" t="s">
        <v>154</v>
      </c>
    </row>
    <row r="132" spans="1:5" x14ac:dyDescent="0.35">
      <c r="A132" s="71" t="str">
        <f>IF(TRIM(E132)&lt;&gt;"",COUNTA(E$11:$E132)&amp;"","")</f>
        <v>68</v>
      </c>
      <c r="B132" s="34"/>
      <c r="C132" s="56" t="s">
        <v>236</v>
      </c>
      <c r="D132" s="73">
        <v>305.85000000000002</v>
      </c>
      <c r="E132" s="74" t="s">
        <v>154</v>
      </c>
    </row>
    <row r="133" spans="1:5" x14ac:dyDescent="0.35">
      <c r="A133" s="71" t="str">
        <f>IF(TRIM(E133)&lt;&gt;"",COUNTA(E$11:$E133)&amp;"","")</f>
        <v>69</v>
      </c>
      <c r="B133" s="34"/>
      <c r="C133" s="56" t="s">
        <v>237</v>
      </c>
      <c r="D133" s="73">
        <v>104.62</v>
      </c>
      <c r="E133" s="74" t="s">
        <v>154</v>
      </c>
    </row>
    <row r="134" spans="1:5" x14ac:dyDescent="0.35">
      <c r="A134" s="71" t="str">
        <f>IF(TRIM(E134)&lt;&gt;"",COUNTA(E$11:$E134)&amp;"","")</f>
        <v>70</v>
      </c>
      <c r="B134" s="34"/>
      <c r="C134" s="56" t="s">
        <v>238</v>
      </c>
      <c r="D134" s="73">
        <v>385.97</v>
      </c>
      <c r="E134" s="74" t="s">
        <v>154</v>
      </c>
    </row>
    <row r="135" spans="1:5" x14ac:dyDescent="0.35">
      <c r="A135" s="71" t="str">
        <f>IF(TRIM(E135)&lt;&gt;"",COUNTA(E$11:$E135)&amp;"","")</f>
        <v/>
      </c>
      <c r="B135" s="34"/>
      <c r="C135" s="56"/>
      <c r="D135" s="73"/>
      <c r="E135" s="74"/>
    </row>
    <row r="136" spans="1:5" s="18" customFormat="1" ht="19.149999999999999" customHeight="1" x14ac:dyDescent="0.35">
      <c r="A136" s="71" t="str">
        <f>IF(TRIM(E136)&lt;&gt;"",COUNTA(E$11:$E136)&amp;"","")</f>
        <v/>
      </c>
      <c r="B136" s="207" t="s">
        <v>179</v>
      </c>
      <c r="C136" s="205" t="s">
        <v>79</v>
      </c>
      <c r="D136" s="73"/>
      <c r="E136" s="74"/>
    </row>
    <row r="137" spans="1:5" x14ac:dyDescent="0.35">
      <c r="A137" s="71" t="str">
        <f>IF(TRIM(E137)&lt;&gt;"",COUNTA(E$11:$E137)&amp;"","")</f>
        <v>71</v>
      </c>
      <c r="B137" s="34"/>
      <c r="C137" s="56" t="s">
        <v>494</v>
      </c>
      <c r="D137" s="73">
        <f>203.19*3</f>
        <v>609.56999999999994</v>
      </c>
      <c r="E137" s="74" t="s">
        <v>141</v>
      </c>
    </row>
    <row r="138" spans="1:5" x14ac:dyDescent="0.35">
      <c r="A138" s="71" t="str">
        <f>IF(TRIM(E138)&lt;&gt;"",COUNTA(E$11:$E138)&amp;"","")</f>
        <v>72</v>
      </c>
      <c r="B138" s="34"/>
      <c r="C138" s="56" t="s">
        <v>201</v>
      </c>
      <c r="D138" s="73">
        <v>203.19</v>
      </c>
      <c r="E138" s="74" t="s">
        <v>154</v>
      </c>
    </row>
    <row r="139" spans="1:5" x14ac:dyDescent="0.35">
      <c r="A139" s="71" t="str">
        <f>IF(TRIM(E139)&lt;&gt;"",COUNTA(E$11:$E139)&amp;"","")</f>
        <v>73</v>
      </c>
      <c r="B139" s="34"/>
      <c r="C139" s="56" t="s">
        <v>495</v>
      </c>
      <c r="D139" s="73">
        <f>(40.5*8)</f>
        <v>324</v>
      </c>
      <c r="E139" s="74" t="s">
        <v>154</v>
      </c>
    </row>
    <row r="140" spans="1:5" x14ac:dyDescent="0.35">
      <c r="A140" s="71" t="str">
        <f>IF(TRIM(E140)&lt;&gt;"",COUNTA(E$11:$E140)&amp;"","")</f>
        <v>74</v>
      </c>
      <c r="B140" s="34"/>
      <c r="C140" s="56" t="s">
        <v>496</v>
      </c>
      <c r="D140" s="73">
        <v>290</v>
      </c>
      <c r="E140" s="74" t="s">
        <v>154</v>
      </c>
    </row>
    <row r="141" spans="1:5" x14ac:dyDescent="0.35">
      <c r="A141" s="71" t="str">
        <f>IF(TRIM(E141)&lt;&gt;"",COUNTA(E$11:$E141)&amp;"","")</f>
        <v>75</v>
      </c>
      <c r="B141" s="34"/>
      <c r="C141" s="56" t="s">
        <v>497</v>
      </c>
      <c r="D141" s="73">
        <v>18</v>
      </c>
      <c r="E141" s="74" t="s">
        <v>154</v>
      </c>
    </row>
    <row r="142" spans="1:5" s="2" customFormat="1" ht="16" thickBot="1" x14ac:dyDescent="0.4">
      <c r="A142" s="84" t="str">
        <f>IF(TRIM(E142)&lt;&gt;"",COUNTA(E$11:$E142)&amp;"","")</f>
        <v/>
      </c>
      <c r="B142" s="20"/>
      <c r="C142" s="19"/>
      <c r="D142" s="179"/>
      <c r="E142" s="190"/>
    </row>
    <row r="143" spans="1:5" ht="25" customHeight="1" thickBot="1" x14ac:dyDescent="0.4">
      <c r="A143" s="181" t="str">
        <f>IF(TRIM(E143)&lt;&gt;"",COUNTA(E$11:$E143)&amp;"","")</f>
        <v/>
      </c>
      <c r="B143" s="193" t="s">
        <v>46</v>
      </c>
      <c r="C143" s="193" t="s">
        <v>45</v>
      </c>
      <c r="D143" s="194"/>
      <c r="E143" s="184"/>
    </row>
    <row r="144" spans="1:5" s="18" customFormat="1" ht="19.149999999999999" customHeight="1" x14ac:dyDescent="0.35">
      <c r="A144" s="71" t="str">
        <f>IF(TRIM(E144)&lt;&gt;"",COUNTA(E$11:$E144)&amp;"","")</f>
        <v/>
      </c>
      <c r="B144" s="207" t="s">
        <v>81</v>
      </c>
      <c r="C144" s="205" t="s">
        <v>80</v>
      </c>
      <c r="D144" s="73"/>
      <c r="E144" s="74"/>
    </row>
    <row r="145" spans="1:5" ht="58" x14ac:dyDescent="0.35">
      <c r="A145" s="71" t="str">
        <f>IF(TRIM(E145)&lt;&gt;"",COUNTA(E$11:$E145)&amp;"","")</f>
        <v>76</v>
      </c>
      <c r="B145" s="34"/>
      <c r="C145" s="56" t="s">
        <v>245</v>
      </c>
      <c r="D145" s="73">
        <v>24</v>
      </c>
      <c r="E145" s="74" t="s">
        <v>192</v>
      </c>
    </row>
    <row r="146" spans="1:5" ht="58" x14ac:dyDescent="0.35">
      <c r="A146" s="71" t="str">
        <f>IF(TRIM(E146)&lt;&gt;"",COUNTA(E$11:$E146)&amp;"","")</f>
        <v>77</v>
      </c>
      <c r="B146" s="34"/>
      <c r="C146" s="56" t="s">
        <v>246</v>
      </c>
      <c r="D146" s="73">
        <v>11</v>
      </c>
      <c r="E146" s="74" t="s">
        <v>192</v>
      </c>
    </row>
    <row r="147" spans="1:5" ht="58" x14ac:dyDescent="0.35">
      <c r="A147" s="71" t="str">
        <f>IF(TRIM(E147)&lt;&gt;"",COUNTA(E$11:$E147)&amp;"","")</f>
        <v>78</v>
      </c>
      <c r="B147" s="34"/>
      <c r="C147" s="56" t="s">
        <v>247</v>
      </c>
      <c r="D147" s="73">
        <v>10</v>
      </c>
      <c r="E147" s="74" t="s">
        <v>192</v>
      </c>
    </row>
    <row r="148" spans="1:5" ht="58" x14ac:dyDescent="0.35">
      <c r="A148" s="71" t="str">
        <f>IF(TRIM(E148)&lt;&gt;"",COUNTA(E$11:$E148)&amp;"","")</f>
        <v>79</v>
      </c>
      <c r="B148" s="34"/>
      <c r="C148" s="56" t="s">
        <v>248</v>
      </c>
      <c r="D148" s="73">
        <v>20</v>
      </c>
      <c r="E148" s="74" t="s">
        <v>192</v>
      </c>
    </row>
    <row r="149" spans="1:5" ht="58" x14ac:dyDescent="0.35">
      <c r="A149" s="71" t="str">
        <f>IF(TRIM(E149)&lt;&gt;"",COUNTA(E$11:$E149)&amp;"","")</f>
        <v>80</v>
      </c>
      <c r="B149" s="34"/>
      <c r="C149" s="56" t="s">
        <v>249</v>
      </c>
      <c r="D149" s="73">
        <v>5</v>
      </c>
      <c r="E149" s="74" t="s">
        <v>192</v>
      </c>
    </row>
    <row r="150" spans="1:5" ht="72.5" x14ac:dyDescent="0.35">
      <c r="A150" s="71" t="str">
        <f>IF(TRIM(E150)&lt;&gt;"",COUNTA(E$11:$E150)&amp;"","")</f>
        <v>81</v>
      </c>
      <c r="B150" s="34"/>
      <c r="C150" s="56" t="s">
        <v>658</v>
      </c>
      <c r="D150" s="73">
        <v>5</v>
      </c>
      <c r="E150" s="74" t="s">
        <v>192</v>
      </c>
    </row>
    <row r="151" spans="1:5" ht="72.5" x14ac:dyDescent="0.35">
      <c r="A151" s="71" t="str">
        <f>IF(TRIM(E151)&lt;&gt;"",COUNTA(E$11:$E151)&amp;"","")</f>
        <v>82</v>
      </c>
      <c r="B151" s="34"/>
      <c r="C151" s="56" t="s">
        <v>657</v>
      </c>
      <c r="D151" s="73">
        <v>8</v>
      </c>
      <c r="E151" s="74" t="s">
        <v>192</v>
      </c>
    </row>
    <row r="152" spans="1:5" ht="43.5" x14ac:dyDescent="0.35">
      <c r="A152" s="71" t="str">
        <f>IF(TRIM(E152)&lt;&gt;"",COUNTA(E$11:$E152)&amp;"","")</f>
        <v>83</v>
      </c>
      <c r="B152" s="34"/>
      <c r="C152" s="56" t="s">
        <v>250</v>
      </c>
      <c r="D152" s="73">
        <v>5</v>
      </c>
      <c r="E152" s="74" t="s">
        <v>192</v>
      </c>
    </row>
    <row r="153" spans="1:5" x14ac:dyDescent="0.35">
      <c r="A153" s="71" t="str">
        <f>IF(TRIM(E153)&lt;&gt;"",COUNTA(E$11:$E153)&amp;"","")</f>
        <v/>
      </c>
      <c r="B153" s="34"/>
      <c r="C153" s="56"/>
      <c r="D153" s="73"/>
      <c r="E153" s="74"/>
    </row>
    <row r="154" spans="1:5" s="18" customFormat="1" ht="19.149999999999999" customHeight="1" x14ac:dyDescent="0.35">
      <c r="A154" s="71" t="str">
        <f>IF(TRIM(E154)&lt;&gt;"",COUNTA(E$11:$E154)&amp;"","")</f>
        <v/>
      </c>
      <c r="B154" s="207" t="s">
        <v>84</v>
      </c>
      <c r="C154" s="205" t="s">
        <v>83</v>
      </c>
      <c r="D154" s="73"/>
      <c r="E154" s="74"/>
    </row>
    <row r="155" spans="1:5" x14ac:dyDescent="0.35">
      <c r="A155" s="71" t="str">
        <f>IF(TRIM(E155)&lt;&gt;"",COUNTA(E$11:$E155)&amp;"","")</f>
        <v>84</v>
      </c>
      <c r="B155" s="34"/>
      <c r="C155" s="56" t="s">
        <v>632</v>
      </c>
      <c r="D155" s="73">
        <v>88</v>
      </c>
      <c r="E155" s="74" t="s">
        <v>192</v>
      </c>
    </row>
    <row r="156" spans="1:5" x14ac:dyDescent="0.35">
      <c r="A156" s="71" t="str">
        <f>IF(TRIM(E156)&lt;&gt;"",COUNTA(E$11:$E156)&amp;"","")</f>
        <v/>
      </c>
      <c r="B156" s="34"/>
      <c r="C156" s="56"/>
      <c r="D156" s="73"/>
      <c r="E156" s="74"/>
    </row>
    <row r="157" spans="1:5" s="18" customFormat="1" ht="19.149999999999999" customHeight="1" x14ac:dyDescent="0.35">
      <c r="A157" s="71" t="str">
        <f>IF(TRIM(E157)&lt;&gt;"",COUNTA(E$11:$E157)&amp;"","")</f>
        <v/>
      </c>
      <c r="B157" s="207" t="s">
        <v>180</v>
      </c>
      <c r="C157" s="205" t="s">
        <v>82</v>
      </c>
      <c r="D157" s="73"/>
      <c r="E157" s="74"/>
    </row>
    <row r="158" spans="1:5" ht="72.5" x14ac:dyDescent="0.35">
      <c r="A158" s="71" t="str">
        <f>IF(TRIM(E158)&lt;&gt;"",COUNTA(E$11:$E158)&amp;"","")</f>
        <v>85</v>
      </c>
      <c r="B158" s="34"/>
      <c r="C158" s="56" t="s">
        <v>251</v>
      </c>
      <c r="D158" s="73">
        <v>44</v>
      </c>
      <c r="E158" s="74" t="s">
        <v>192</v>
      </c>
    </row>
    <row r="159" spans="1:5" ht="72.5" x14ac:dyDescent="0.35">
      <c r="A159" s="71" t="str">
        <f>IF(TRIM(E159)&lt;&gt;"",COUNTA(E$11:$E159)&amp;"","")</f>
        <v>86</v>
      </c>
      <c r="B159" s="34"/>
      <c r="C159" s="56" t="s">
        <v>252</v>
      </c>
      <c r="D159" s="73">
        <v>30</v>
      </c>
      <c r="E159" s="74" t="s">
        <v>192</v>
      </c>
    </row>
    <row r="160" spans="1:5" ht="72.5" x14ac:dyDescent="0.35">
      <c r="A160" s="71" t="str">
        <f>IF(TRIM(E160)&lt;&gt;"",COUNTA(E$11:$E160)&amp;"","")</f>
        <v>87</v>
      </c>
      <c r="B160" s="34"/>
      <c r="C160" s="56" t="s">
        <v>253</v>
      </c>
      <c r="D160" s="73">
        <v>3</v>
      </c>
      <c r="E160" s="74" t="s">
        <v>192</v>
      </c>
    </row>
    <row r="161" spans="1:5" ht="72.5" x14ac:dyDescent="0.35">
      <c r="A161" s="71" t="str">
        <f>IF(TRIM(E161)&lt;&gt;"",COUNTA(E$11:$E161)&amp;"","")</f>
        <v>88</v>
      </c>
      <c r="B161" s="34"/>
      <c r="C161" s="56" t="s">
        <v>254</v>
      </c>
      <c r="D161" s="73">
        <v>7</v>
      </c>
      <c r="E161" s="74" t="s">
        <v>192</v>
      </c>
    </row>
    <row r="162" spans="1:5" x14ac:dyDescent="0.35">
      <c r="A162" s="71" t="str">
        <f>IF(TRIM(E162)&lt;&gt;"",COUNTA(E$11:$E162)&amp;"","")</f>
        <v/>
      </c>
      <c r="B162" s="34"/>
      <c r="C162" s="258"/>
      <c r="D162" s="73"/>
      <c r="E162" s="74"/>
    </row>
    <row r="163" spans="1:5" x14ac:dyDescent="0.35">
      <c r="A163" s="71" t="str">
        <f>IF(TRIM(E163)&lt;&gt;"",COUNTA(E$11:$E163)&amp;"","")</f>
        <v/>
      </c>
      <c r="B163" s="34"/>
      <c r="C163" s="205" t="s">
        <v>508</v>
      </c>
      <c r="D163" s="73"/>
      <c r="E163" s="74"/>
    </row>
    <row r="164" spans="1:5" x14ac:dyDescent="0.35">
      <c r="A164" s="71" t="str">
        <f>IF(TRIM(E164)&lt;&gt;"",COUNTA(E$11:$E164)&amp;"","")</f>
        <v>89</v>
      </c>
      <c r="B164" s="34"/>
      <c r="C164" s="258" t="s">
        <v>509</v>
      </c>
      <c r="D164" s="73">
        <f>(D131+D132+D133+D134)</f>
        <v>1482.65</v>
      </c>
      <c r="E164" s="74" t="s">
        <v>154</v>
      </c>
    </row>
    <row r="165" spans="1:5" x14ac:dyDescent="0.35">
      <c r="A165" s="71" t="str">
        <f>IF(TRIM(E165)&lt;&gt;"",COUNTA(E$11:$E165)&amp;"","")</f>
        <v/>
      </c>
      <c r="B165" s="34"/>
      <c r="C165" s="258"/>
      <c r="D165" s="73"/>
      <c r="E165" s="74"/>
    </row>
    <row r="166" spans="1:5" x14ac:dyDescent="0.35">
      <c r="A166" s="71" t="str">
        <f>IF(TRIM(E166)&lt;&gt;"",COUNTA(E$11:$E166)&amp;"","")</f>
        <v/>
      </c>
      <c r="B166" s="34"/>
      <c r="C166" s="205" t="s">
        <v>510</v>
      </c>
      <c r="D166" s="73"/>
      <c r="E166" s="74"/>
    </row>
    <row r="167" spans="1:5" x14ac:dyDescent="0.35">
      <c r="A167" s="71" t="str">
        <f>IF(TRIM(E167)&lt;&gt;"",COUNTA(E$11:$E167)&amp;"","")</f>
        <v>90</v>
      </c>
      <c r="B167" s="34"/>
      <c r="C167" s="258" t="s">
        <v>511</v>
      </c>
      <c r="D167" s="73">
        <f>(D131+D132+D133+D134+D45+D46)/55</f>
        <v>93.38127272727273</v>
      </c>
      <c r="E167" s="74" t="s">
        <v>192</v>
      </c>
    </row>
    <row r="168" spans="1:5" s="2" customFormat="1" ht="16" thickBot="1" x14ac:dyDescent="0.4">
      <c r="A168" s="84" t="str">
        <f>IF(TRIM(E168)&lt;&gt;"",COUNTA(E$11:$E168)&amp;"","")</f>
        <v/>
      </c>
      <c r="B168" s="20"/>
      <c r="C168" s="19"/>
      <c r="D168" s="179"/>
      <c r="E168" s="190"/>
    </row>
    <row r="169" spans="1:5" ht="25" customHeight="1" thickBot="1" x14ac:dyDescent="0.4">
      <c r="A169" s="181" t="str">
        <f>IF(TRIM(E169)&lt;&gt;"",COUNTA(E$11:$E169)&amp;"","")</f>
        <v/>
      </c>
      <c r="B169" s="193" t="s">
        <v>44</v>
      </c>
      <c r="C169" s="193" t="s">
        <v>47</v>
      </c>
      <c r="D169" s="194"/>
      <c r="E169" s="184"/>
    </row>
    <row r="170" spans="1:5" x14ac:dyDescent="0.35">
      <c r="A170" s="71" t="str">
        <f>IF(TRIM(E170)&lt;&gt;"",COUNTA(E$11:$E170)&amp;"","")</f>
        <v/>
      </c>
      <c r="B170" s="34"/>
      <c r="C170" s="205" t="s">
        <v>604</v>
      </c>
      <c r="D170" s="73"/>
      <c r="E170" s="74"/>
    </row>
    <row r="171" spans="1:5" x14ac:dyDescent="0.35">
      <c r="A171" s="71" t="str">
        <f>IF(TRIM(E171)&lt;&gt;"",COUNTA(E$11:$E171)&amp;"","")</f>
        <v/>
      </c>
      <c r="B171" s="34"/>
      <c r="C171" s="256" t="s">
        <v>612</v>
      </c>
      <c r="D171" s="73"/>
      <c r="E171" s="74"/>
    </row>
    <row r="172" spans="1:5" x14ac:dyDescent="0.35">
      <c r="A172" s="71" t="str">
        <f>IF(TRIM(E172)&lt;&gt;"",COUNTA(E$11:$E172)&amp;"","")</f>
        <v>91</v>
      </c>
      <c r="B172" s="34"/>
      <c r="C172" s="69" t="s">
        <v>613</v>
      </c>
      <c r="D172" s="73">
        <f>(352.45*9)/48</f>
        <v>66.084374999999994</v>
      </c>
      <c r="E172" s="74" t="s">
        <v>192</v>
      </c>
    </row>
    <row r="173" spans="1:5" x14ac:dyDescent="0.35">
      <c r="A173" s="71" t="str">
        <f>IF(TRIM(E173)&lt;&gt;"",COUNTA(E$11:$E173)&amp;"","")</f>
        <v>92</v>
      </c>
      <c r="B173" s="34"/>
      <c r="C173" s="69" t="s">
        <v>615</v>
      </c>
      <c r="D173" s="73">
        <f>(2301.56*9)/48</f>
        <v>431.54250000000002</v>
      </c>
      <c r="E173" s="74" t="s">
        <v>192</v>
      </c>
    </row>
    <row r="174" spans="1:5" x14ac:dyDescent="0.35">
      <c r="A174" s="71" t="str">
        <f>IF(TRIM(E174)&lt;&gt;"",COUNTA(E$11:$E174)&amp;"","")</f>
        <v>93</v>
      </c>
      <c r="B174" s="34"/>
      <c r="C174" s="69" t="s">
        <v>614</v>
      </c>
      <c r="D174" s="73">
        <f>(30.8*7)/32</f>
        <v>6.7374999999999998</v>
      </c>
      <c r="E174" s="74" t="s">
        <v>192</v>
      </c>
    </row>
    <row r="175" spans="1:5" x14ac:dyDescent="0.35">
      <c r="A175" s="71" t="str">
        <f>IF(TRIM(E175)&lt;&gt;"",COUNTA(E$11:$E175)&amp;"","")</f>
        <v>94</v>
      </c>
      <c r="B175" s="34"/>
      <c r="C175" s="69" t="s">
        <v>616</v>
      </c>
      <c r="D175" s="73">
        <f>(286.42*9)/32</f>
        <v>80.555625000000006</v>
      </c>
      <c r="E175" s="74" t="s">
        <v>192</v>
      </c>
    </row>
    <row r="176" spans="1:5" x14ac:dyDescent="0.35">
      <c r="A176" s="71" t="str">
        <f>IF(TRIM(E176)&lt;&gt;"",COUNTA(E$11:$E176)&amp;"","")</f>
        <v>95</v>
      </c>
      <c r="B176" s="34"/>
      <c r="C176" s="69" t="s">
        <v>617</v>
      </c>
      <c r="D176" s="73">
        <f>(90.7*9)/15</f>
        <v>54.42</v>
      </c>
      <c r="E176" s="74" t="s">
        <v>192</v>
      </c>
    </row>
    <row r="177" spans="1:5" x14ac:dyDescent="0.35">
      <c r="A177" s="71" t="str">
        <f>IF(TRIM(E177)&lt;&gt;"",COUNTA(E$11:$E177)&amp;"","")</f>
        <v>96</v>
      </c>
      <c r="B177" s="34"/>
      <c r="C177" s="69" t="s">
        <v>511</v>
      </c>
      <c r="D177" s="73">
        <f>(362*2)/55</f>
        <v>13.163636363636364</v>
      </c>
      <c r="E177" s="74" t="s">
        <v>192</v>
      </c>
    </row>
    <row r="178" spans="1:5" x14ac:dyDescent="0.35">
      <c r="A178" s="71" t="str">
        <f>IF(TRIM(E178)&lt;&gt;"",COUNTA(E$11:$E178)&amp;"","")</f>
        <v/>
      </c>
      <c r="B178" s="34"/>
      <c r="C178" s="69"/>
      <c r="D178" s="73"/>
      <c r="E178" s="74"/>
    </row>
    <row r="179" spans="1:5" x14ac:dyDescent="0.35">
      <c r="A179" s="71" t="str">
        <f>IF(TRIM(E179)&lt;&gt;"",COUNTA(E$11:$E179)&amp;"","")</f>
        <v/>
      </c>
      <c r="B179" s="34"/>
      <c r="C179" s="256" t="s">
        <v>618</v>
      </c>
      <c r="D179" s="73"/>
      <c r="E179" s="74"/>
    </row>
    <row r="180" spans="1:5" x14ac:dyDescent="0.35">
      <c r="A180" s="71" t="str">
        <f>IF(TRIM(E180)&lt;&gt;"",COUNTA(E$11:$E180)&amp;"","")</f>
        <v>97</v>
      </c>
      <c r="B180" s="34"/>
      <c r="C180" s="69" t="s">
        <v>619</v>
      </c>
      <c r="D180" s="73">
        <f>1430.85/32</f>
        <v>44.714062499999997</v>
      </c>
      <c r="E180" s="74" t="s">
        <v>192</v>
      </c>
    </row>
    <row r="181" spans="1:5" x14ac:dyDescent="0.35">
      <c r="A181" s="71" t="str">
        <f>IF(TRIM(E181)&lt;&gt;"",COUNTA(E$11:$E181)&amp;"","")</f>
        <v>98</v>
      </c>
      <c r="B181" s="34"/>
      <c r="C181" s="69" t="s">
        <v>614</v>
      </c>
      <c r="D181" s="73">
        <f>4996.52/32</f>
        <v>156.14125000000001</v>
      </c>
      <c r="E181" s="74" t="s">
        <v>192</v>
      </c>
    </row>
    <row r="182" spans="1:5" x14ac:dyDescent="0.35">
      <c r="A182" s="71" t="str">
        <f>IF(TRIM(E182)&lt;&gt;"",COUNTA(E$11:$E182)&amp;"","")</f>
        <v>99</v>
      </c>
      <c r="B182" s="34"/>
      <c r="C182" s="69" t="s">
        <v>616</v>
      </c>
      <c r="D182" s="73">
        <f>567.49/32</f>
        <v>17.7340625</v>
      </c>
      <c r="E182" s="74" t="s">
        <v>192</v>
      </c>
    </row>
    <row r="183" spans="1:5" x14ac:dyDescent="0.35">
      <c r="A183" s="71" t="str">
        <f>IF(TRIM(E183)&lt;&gt;"",COUNTA(E$11:$E183)&amp;"","")</f>
        <v/>
      </c>
      <c r="B183" s="34"/>
      <c r="C183" s="69"/>
      <c r="D183" s="73"/>
      <c r="E183" s="74"/>
    </row>
    <row r="184" spans="1:5" ht="15.5" x14ac:dyDescent="0.35">
      <c r="A184" s="71" t="str">
        <f>IF(TRIM(E184)&lt;&gt;"",COUNTA(E$11:$E184)&amp;"","")</f>
        <v>100</v>
      </c>
      <c r="B184" s="34"/>
      <c r="C184" s="269" t="s">
        <v>620</v>
      </c>
      <c r="D184" s="270">
        <f>((D172+D173)*48/32+(D174+D175+D180+D181+D182)+(D176*15/32))*10</f>
        <v>10778.321875000001</v>
      </c>
      <c r="E184" s="287">
        <v>0.05</v>
      </c>
    </row>
    <row r="185" spans="1:5" ht="15.5" x14ac:dyDescent="0.35">
      <c r="A185" s="71" t="str">
        <f>IF(TRIM(E185)&lt;&gt;"",COUNTA(E$11:$E185)&amp;"","")</f>
        <v>101</v>
      </c>
      <c r="B185" s="34"/>
      <c r="C185" s="269" t="s">
        <v>621</v>
      </c>
      <c r="D185" s="270">
        <f>((D172+D173)*48/32+(D174+D175+D180+D181+D182)+(D176*15/32))*32*0.053</f>
        <v>1828.0033900000003</v>
      </c>
      <c r="E185" s="287">
        <v>0.05</v>
      </c>
    </row>
    <row r="186" spans="1:5" ht="15.5" x14ac:dyDescent="0.35">
      <c r="A186" s="71" t="str">
        <f>IF(TRIM(E186)&lt;&gt;"",COUNTA(E$11:$E186)&amp;"","")</f>
        <v>102</v>
      </c>
      <c r="B186" s="34"/>
      <c r="C186" s="269" t="s">
        <v>622</v>
      </c>
      <c r="D186" s="270">
        <f>((D172+D173)*48/32+(D174+D175+D180+D181+D182)+(D176*15/32))*45</f>
        <v>48502.448437500003</v>
      </c>
      <c r="E186" s="287">
        <v>0.05</v>
      </c>
    </row>
    <row r="187" spans="1:5" x14ac:dyDescent="0.35">
      <c r="A187" s="71" t="str">
        <f>IF(TRIM(E187)&lt;&gt;"",COUNTA(E$11:$E187)&amp;"","")</f>
        <v/>
      </c>
      <c r="B187" s="34"/>
      <c r="C187" s="69"/>
      <c r="D187" s="73"/>
      <c r="E187" s="74"/>
    </row>
    <row r="188" spans="1:5" s="18" customFormat="1" ht="19.149999999999999" customHeight="1" x14ac:dyDescent="0.35">
      <c r="A188" s="71" t="str">
        <f>IF(TRIM(E188)&lt;&gt;"",COUNTA(E$11:$E188)&amp;"","")</f>
        <v/>
      </c>
      <c r="B188" s="207">
        <v>93013</v>
      </c>
      <c r="C188" s="205" t="s">
        <v>85</v>
      </c>
      <c r="D188" s="73"/>
      <c r="E188" s="74"/>
    </row>
    <row r="189" spans="1:5" ht="29" x14ac:dyDescent="0.35">
      <c r="A189" s="71" t="str">
        <f>IF(TRIM(E189)&lt;&gt;"",COUNTA(E$11:$E189)&amp;"","")</f>
        <v>103</v>
      </c>
      <c r="B189" s="34"/>
      <c r="C189" s="69" t="s">
        <v>623</v>
      </c>
      <c r="D189" s="73">
        <v>816.3</v>
      </c>
      <c r="E189" s="74" t="s">
        <v>141</v>
      </c>
    </row>
    <row r="190" spans="1:5" x14ac:dyDescent="0.35">
      <c r="A190" s="71" t="str">
        <f>IF(TRIM(E190)&lt;&gt;"",COUNTA(E$11:$E190)&amp;"","")</f>
        <v/>
      </c>
      <c r="B190" s="34"/>
      <c r="C190" s="69"/>
      <c r="D190" s="73"/>
      <c r="E190" s="74"/>
    </row>
    <row r="191" spans="1:5" s="18" customFormat="1" ht="19.149999999999999" customHeight="1" x14ac:dyDescent="0.35">
      <c r="A191" s="71" t="str">
        <f>IF(TRIM(E191)&lt;&gt;"",COUNTA(E$11:$E191)&amp;"","")</f>
        <v/>
      </c>
      <c r="B191" s="207" t="s">
        <v>161</v>
      </c>
      <c r="C191" s="205" t="s">
        <v>162</v>
      </c>
      <c r="D191" s="73"/>
      <c r="E191" s="74"/>
    </row>
    <row r="192" spans="1:5" x14ac:dyDescent="0.35">
      <c r="A192" s="71" t="str">
        <f>IF(TRIM(E192)&lt;&gt;"",COUNTA(E$11:$E192)&amp;"","")</f>
        <v>104</v>
      </c>
      <c r="B192" s="34"/>
      <c r="C192" s="69" t="s">
        <v>308</v>
      </c>
      <c r="D192" s="73">
        <v>42.2</v>
      </c>
      <c r="E192" s="74" t="s">
        <v>154</v>
      </c>
    </row>
    <row r="193" spans="1:5" x14ac:dyDescent="0.35">
      <c r="A193" s="71" t="str">
        <f>IF(TRIM(E193)&lt;&gt;"",COUNTA(E$11:$E193)&amp;"","")</f>
        <v>105</v>
      </c>
      <c r="B193" s="34"/>
      <c r="C193" s="69" t="s">
        <v>309</v>
      </c>
      <c r="D193" s="73">
        <v>111.4</v>
      </c>
      <c r="E193" s="74" t="s">
        <v>154</v>
      </c>
    </row>
    <row r="194" spans="1:5" x14ac:dyDescent="0.35">
      <c r="A194" s="71" t="str">
        <f>IF(TRIM(E194)&lt;&gt;"",COUNTA(E$11:$E194)&amp;"","")</f>
        <v>106</v>
      </c>
      <c r="B194" s="34"/>
      <c r="C194" s="69" t="s">
        <v>633</v>
      </c>
      <c r="D194" s="73">
        <v>13.03</v>
      </c>
      <c r="E194" s="74" t="s">
        <v>154</v>
      </c>
    </row>
    <row r="195" spans="1:5" x14ac:dyDescent="0.35">
      <c r="A195" s="71" t="str">
        <f>IF(TRIM(E195)&lt;&gt;"",COUNTA(E$11:$E195)&amp;"","")</f>
        <v>107</v>
      </c>
      <c r="B195" s="34"/>
      <c r="C195" s="69" t="s">
        <v>310</v>
      </c>
      <c r="D195" s="73">
        <v>15.9</v>
      </c>
      <c r="E195" s="74" t="s">
        <v>154</v>
      </c>
    </row>
    <row r="196" spans="1:5" x14ac:dyDescent="0.35">
      <c r="A196" s="71" t="str">
        <f>IF(TRIM(E196)&lt;&gt;"",COUNTA(E$11:$E196)&amp;"","")</f>
        <v/>
      </c>
      <c r="B196" s="34"/>
      <c r="C196" s="69"/>
      <c r="D196" s="73"/>
      <c r="E196" s="74"/>
    </row>
    <row r="197" spans="1:5" s="18" customFormat="1" ht="19.149999999999999" customHeight="1" x14ac:dyDescent="0.35">
      <c r="A197" s="71" t="str">
        <f>IF(TRIM(E197)&lt;&gt;"",COUNTA(E$11:$E197)&amp;"","")</f>
        <v/>
      </c>
      <c r="B197" s="207" t="s">
        <v>163</v>
      </c>
      <c r="C197" s="205" t="s">
        <v>164</v>
      </c>
      <c r="D197" s="73"/>
      <c r="E197" s="74"/>
    </row>
    <row r="198" spans="1:5" x14ac:dyDescent="0.35">
      <c r="A198" s="71" t="str">
        <f>IF(TRIM(E198)&lt;&gt;"",COUNTA(E$11:$E198)&amp;"","")</f>
        <v>108</v>
      </c>
      <c r="B198" s="34"/>
      <c r="C198" s="69" t="s">
        <v>277</v>
      </c>
      <c r="D198" s="73">
        <v>1275.93</v>
      </c>
      <c r="E198" s="74" t="s">
        <v>141</v>
      </c>
    </row>
    <row r="199" spans="1:5" x14ac:dyDescent="0.35">
      <c r="A199" s="71" t="str">
        <f>IF(TRIM(E199)&lt;&gt;"",COUNTA(E$11:$E199)&amp;"","")</f>
        <v>109</v>
      </c>
      <c r="B199" s="34"/>
      <c r="C199" s="69" t="s">
        <v>278</v>
      </c>
      <c r="D199" s="73">
        <v>421.59</v>
      </c>
      <c r="E199" s="74" t="s">
        <v>141</v>
      </c>
    </row>
    <row r="200" spans="1:5" x14ac:dyDescent="0.35">
      <c r="A200" s="71" t="str">
        <f>IF(TRIM(E200)&lt;&gt;"",COUNTA(E$11:$E200)&amp;"","")</f>
        <v>110</v>
      </c>
      <c r="B200" s="34"/>
      <c r="C200" s="69" t="s">
        <v>279</v>
      </c>
      <c r="D200" s="73">
        <v>590.5</v>
      </c>
      <c r="E200" s="74" t="s">
        <v>141</v>
      </c>
    </row>
    <row r="201" spans="1:5" x14ac:dyDescent="0.35">
      <c r="A201" s="71" t="str">
        <f>IF(TRIM(E201)&lt;&gt;"",COUNTA(E$11:$E201)&amp;"","")</f>
        <v>111</v>
      </c>
      <c r="B201" s="34"/>
      <c r="C201" s="69" t="s">
        <v>280</v>
      </c>
      <c r="D201" s="73">
        <v>531.15</v>
      </c>
      <c r="E201" s="74" t="s">
        <v>141</v>
      </c>
    </row>
    <row r="202" spans="1:5" x14ac:dyDescent="0.35">
      <c r="A202" s="71" t="str">
        <f>IF(TRIM(E202)&lt;&gt;"",COUNTA(E$11:$E202)&amp;"","")</f>
        <v>112</v>
      </c>
      <c r="B202" s="34"/>
      <c r="C202" s="69" t="s">
        <v>281</v>
      </c>
      <c r="D202" s="73">
        <v>582.9</v>
      </c>
      <c r="E202" s="74" t="s">
        <v>141</v>
      </c>
    </row>
    <row r="203" spans="1:5" x14ac:dyDescent="0.35">
      <c r="A203" s="71" t="str">
        <f>IF(TRIM(E203)&lt;&gt;"",COUNTA(E$11:$E203)&amp;"","")</f>
        <v>113</v>
      </c>
      <c r="B203" s="34"/>
      <c r="C203" s="69" t="s">
        <v>282</v>
      </c>
      <c r="D203" s="73">
        <v>184.8</v>
      </c>
      <c r="E203" s="74" t="s">
        <v>141</v>
      </c>
    </row>
    <row r="204" spans="1:5" x14ac:dyDescent="0.35">
      <c r="A204" s="71" t="str">
        <f>IF(TRIM(E204)&lt;&gt;"",COUNTA(E$11:$E204)&amp;"","")</f>
        <v>114</v>
      </c>
      <c r="B204" s="34"/>
      <c r="C204" s="69" t="s">
        <v>283</v>
      </c>
      <c r="D204" s="73">
        <v>865.5</v>
      </c>
      <c r="E204" s="74" t="s">
        <v>141</v>
      </c>
    </row>
    <row r="205" spans="1:5" x14ac:dyDescent="0.35">
      <c r="A205" s="71" t="str">
        <f>IF(TRIM(E205)&lt;&gt;"",COUNTA(E$11:$E205)&amp;"","")</f>
        <v>115</v>
      </c>
      <c r="B205" s="34"/>
      <c r="C205" s="69" t="s">
        <v>284</v>
      </c>
      <c r="D205" s="73">
        <v>170.95</v>
      </c>
      <c r="E205" s="74" t="s">
        <v>141</v>
      </c>
    </row>
    <row r="206" spans="1:5" x14ac:dyDescent="0.35">
      <c r="A206" s="71" t="str">
        <f>IF(TRIM(E206)&lt;&gt;"",COUNTA(E$11:$E206)&amp;"","")</f>
        <v/>
      </c>
      <c r="B206" s="34"/>
      <c r="C206" s="69"/>
      <c r="D206" s="73"/>
      <c r="E206" s="74"/>
    </row>
    <row r="207" spans="1:5" x14ac:dyDescent="0.35">
      <c r="A207" s="71" t="str">
        <f>IF(TRIM(E207)&lt;&gt;"",COUNTA(E$11:$E207)&amp;"","")</f>
        <v/>
      </c>
      <c r="B207" s="34"/>
      <c r="C207" s="205" t="s">
        <v>293</v>
      </c>
      <c r="D207" s="73"/>
      <c r="E207" s="74"/>
    </row>
    <row r="208" spans="1:5" x14ac:dyDescent="0.35">
      <c r="A208" s="71" t="str">
        <f>IF(TRIM(E208)&lt;&gt;"",COUNTA(E$11:$E208)&amp;"","")</f>
        <v>116</v>
      </c>
      <c r="B208" s="34"/>
      <c r="C208" s="69" t="s">
        <v>285</v>
      </c>
      <c r="D208" s="73">
        <v>225.04</v>
      </c>
      <c r="E208" s="74" t="s">
        <v>154</v>
      </c>
    </row>
    <row r="209" spans="1:5" x14ac:dyDescent="0.35">
      <c r="A209" s="71" t="str">
        <f>IF(TRIM(E209)&lt;&gt;"",COUNTA(E$11:$E209)&amp;"","")</f>
        <v>117</v>
      </c>
      <c r="B209" s="34"/>
      <c r="C209" s="69" t="s">
        <v>286</v>
      </c>
      <c r="D209" s="73">
        <v>171.68</v>
      </c>
      <c r="E209" s="74" t="s">
        <v>154</v>
      </c>
    </row>
    <row r="210" spans="1:5" x14ac:dyDescent="0.35">
      <c r="A210" s="71" t="str">
        <f>IF(TRIM(E210)&lt;&gt;"",COUNTA(E$11:$E210)&amp;"","")</f>
        <v>118</v>
      </c>
      <c r="B210" s="34"/>
      <c r="C210" s="69" t="s">
        <v>287</v>
      </c>
      <c r="D210" s="73">
        <v>211.93</v>
      </c>
      <c r="E210" s="74" t="s">
        <v>154</v>
      </c>
    </row>
    <row r="211" spans="1:5" x14ac:dyDescent="0.35">
      <c r="A211" s="71" t="str">
        <f>IF(TRIM(E211)&lt;&gt;"",COUNTA(E$11:$E211)&amp;"","")</f>
        <v>119</v>
      </c>
      <c r="B211" s="34"/>
      <c r="C211" s="69" t="s">
        <v>288</v>
      </c>
      <c r="D211" s="73">
        <v>180.77</v>
      </c>
      <c r="E211" s="74" t="s">
        <v>154</v>
      </c>
    </row>
    <row r="212" spans="1:5" x14ac:dyDescent="0.35">
      <c r="A212" s="71" t="str">
        <f>IF(TRIM(E212)&lt;&gt;"",COUNTA(E$11:$E212)&amp;"","")</f>
        <v>120</v>
      </c>
      <c r="B212" s="34"/>
      <c r="C212" s="69" t="s">
        <v>289</v>
      </c>
      <c r="D212" s="73">
        <v>187.05</v>
      </c>
      <c r="E212" s="74" t="s">
        <v>154</v>
      </c>
    </row>
    <row r="213" spans="1:5" x14ac:dyDescent="0.35">
      <c r="A213" s="71" t="str">
        <f>IF(TRIM(E213)&lt;&gt;"",COUNTA(E$11:$E213)&amp;"","")</f>
        <v>121</v>
      </c>
      <c r="B213" s="34"/>
      <c r="C213" s="69" t="s">
        <v>290</v>
      </c>
      <c r="D213" s="73">
        <v>131.55000000000001</v>
      </c>
      <c r="E213" s="74" t="s">
        <v>154</v>
      </c>
    </row>
    <row r="214" spans="1:5" x14ac:dyDescent="0.35">
      <c r="A214" s="71" t="str">
        <f>IF(TRIM(E214)&lt;&gt;"",COUNTA(E$11:$E214)&amp;"","")</f>
        <v>122</v>
      </c>
      <c r="B214" s="34"/>
      <c r="C214" s="69" t="s">
        <v>291</v>
      </c>
      <c r="D214" s="73">
        <v>254.1</v>
      </c>
      <c r="E214" s="74" t="s">
        <v>154</v>
      </c>
    </row>
    <row r="215" spans="1:5" x14ac:dyDescent="0.35">
      <c r="A215" s="71" t="str">
        <f>IF(TRIM(E215)&lt;&gt;"",COUNTA(E$11:$E215)&amp;"","")</f>
        <v>123</v>
      </c>
      <c r="B215" s="34"/>
      <c r="C215" s="69" t="s">
        <v>292</v>
      </c>
      <c r="D215" s="73">
        <v>71.150000000000006</v>
      </c>
      <c r="E215" s="74" t="s">
        <v>154</v>
      </c>
    </row>
    <row r="216" spans="1:5" x14ac:dyDescent="0.35">
      <c r="A216" s="71" t="str">
        <f>IF(TRIM(E216)&lt;&gt;"",COUNTA(E$11:$E216)&amp;"","")</f>
        <v/>
      </c>
      <c r="B216" s="34"/>
      <c r="C216" s="262" t="s">
        <v>294</v>
      </c>
      <c r="D216" s="73"/>
      <c r="E216" s="74"/>
    </row>
    <row r="217" spans="1:5" x14ac:dyDescent="0.35">
      <c r="A217" s="71" t="str">
        <f>IF(TRIM(E217)&lt;&gt;"",COUNTA(E$11:$E217)&amp;"","")</f>
        <v/>
      </c>
      <c r="B217" s="34"/>
      <c r="C217" s="69"/>
      <c r="D217" s="73"/>
      <c r="E217" s="74"/>
    </row>
    <row r="218" spans="1:5" s="18" customFormat="1" ht="19.149999999999999" customHeight="1" x14ac:dyDescent="0.35">
      <c r="A218" s="71" t="str">
        <f>IF(TRIM(E218)&lt;&gt;"",COUNTA(E$11:$E218)&amp;"","")</f>
        <v/>
      </c>
      <c r="B218" s="207" t="s">
        <v>86</v>
      </c>
      <c r="C218" s="205" t="s">
        <v>295</v>
      </c>
      <c r="D218" s="73"/>
      <c r="E218" s="74"/>
    </row>
    <row r="219" spans="1:5" x14ac:dyDescent="0.35">
      <c r="A219" s="71" t="str">
        <f>IF(TRIM(E219)&lt;&gt;"",COUNTA(E$11:$E219)&amp;"","")</f>
        <v>124</v>
      </c>
      <c r="B219" s="34"/>
      <c r="C219" s="69" t="s">
        <v>296</v>
      </c>
      <c r="D219" s="73">
        <v>124.74</v>
      </c>
      <c r="E219" s="74" t="s">
        <v>141</v>
      </c>
    </row>
    <row r="220" spans="1:5" x14ac:dyDescent="0.35">
      <c r="A220" s="71" t="str">
        <f>IF(TRIM(E220)&lt;&gt;"",COUNTA(E$11:$E220)&amp;"","")</f>
        <v>125</v>
      </c>
      <c r="B220" s="34"/>
      <c r="C220" s="69" t="s">
        <v>297</v>
      </c>
      <c r="D220" s="73">
        <v>115.95</v>
      </c>
      <c r="E220" s="74" t="s">
        <v>141</v>
      </c>
    </row>
    <row r="221" spans="1:5" x14ac:dyDescent="0.35">
      <c r="A221" s="71" t="str">
        <f>IF(TRIM(E221)&lt;&gt;"",COUNTA(E$11:$E221)&amp;"","")</f>
        <v>126</v>
      </c>
      <c r="B221" s="34"/>
      <c r="C221" s="69" t="s">
        <v>298</v>
      </c>
      <c r="D221" s="73">
        <v>272.7</v>
      </c>
      <c r="E221" s="74" t="s">
        <v>141</v>
      </c>
    </row>
    <row r="222" spans="1:5" x14ac:dyDescent="0.35">
      <c r="A222" s="71" t="str">
        <f>IF(TRIM(E222)&lt;&gt;"",COUNTA(E$11:$E222)&amp;"","")</f>
        <v>127</v>
      </c>
      <c r="B222" s="34"/>
      <c r="C222" s="69" t="s">
        <v>634</v>
      </c>
      <c r="D222" s="73">
        <v>72.2</v>
      </c>
      <c r="E222" s="74" t="s">
        <v>141</v>
      </c>
    </row>
    <row r="223" spans="1:5" x14ac:dyDescent="0.35">
      <c r="A223" s="71" t="str">
        <f>IF(TRIM(E223)&lt;&gt;"",COUNTA(E$11:$E223)&amp;"","")</f>
        <v>128</v>
      </c>
      <c r="B223" s="34"/>
      <c r="C223" s="69" t="s">
        <v>299</v>
      </c>
      <c r="D223" s="73">
        <v>145.05000000000001</v>
      </c>
      <c r="E223" s="74" t="s">
        <v>141</v>
      </c>
    </row>
    <row r="224" spans="1:5" x14ac:dyDescent="0.35">
      <c r="A224" s="71" t="str">
        <f>IF(TRIM(E224)&lt;&gt;"",COUNTA(E$11:$E224)&amp;"","")</f>
        <v/>
      </c>
      <c r="B224" s="34"/>
      <c r="C224" s="69"/>
      <c r="D224" s="73"/>
      <c r="E224" s="74"/>
    </row>
    <row r="225" spans="1:5" x14ac:dyDescent="0.35">
      <c r="A225" s="71" t="str">
        <f>IF(TRIM(E225)&lt;&gt;"",COUNTA(E$11:$E225)&amp;"","")</f>
        <v/>
      </c>
      <c r="B225" s="34"/>
      <c r="C225" s="205" t="s">
        <v>300</v>
      </c>
      <c r="D225" s="73"/>
      <c r="E225" s="74"/>
    </row>
    <row r="226" spans="1:5" x14ac:dyDescent="0.35">
      <c r="A226" s="71" t="str">
        <f>IF(TRIM(E226)&lt;&gt;"",COUNTA(E$11:$E226)&amp;"","")</f>
        <v>129</v>
      </c>
      <c r="B226" s="34"/>
      <c r="C226" s="69" t="s">
        <v>301</v>
      </c>
      <c r="D226" s="73">
        <v>96.52</v>
      </c>
      <c r="E226" s="74" t="s">
        <v>154</v>
      </c>
    </row>
    <row r="227" spans="1:5" x14ac:dyDescent="0.35">
      <c r="A227" s="71" t="str">
        <f>IF(TRIM(E227)&lt;&gt;"",COUNTA(E$11:$E227)&amp;"","")</f>
        <v>130</v>
      </c>
      <c r="B227" s="34"/>
      <c r="C227" s="69" t="s">
        <v>302</v>
      </c>
      <c r="D227" s="73">
        <v>56.8</v>
      </c>
      <c r="E227" s="74" t="s">
        <v>154</v>
      </c>
    </row>
    <row r="228" spans="1:5" x14ac:dyDescent="0.35">
      <c r="A228" s="71" t="str">
        <f>IF(TRIM(E228)&lt;&gt;"",COUNTA(E$11:$E228)&amp;"","")</f>
        <v>131</v>
      </c>
      <c r="B228" s="34"/>
      <c r="C228" s="69" t="s">
        <v>303</v>
      </c>
      <c r="D228" s="73">
        <v>93.65</v>
      </c>
      <c r="E228" s="74" t="s">
        <v>154</v>
      </c>
    </row>
    <row r="229" spans="1:5" x14ac:dyDescent="0.35">
      <c r="A229" s="71" t="str">
        <f>IF(TRIM(E229)&lt;&gt;"",COUNTA(E$11:$E229)&amp;"","")</f>
        <v>132</v>
      </c>
      <c r="B229" s="34"/>
      <c r="C229" s="69" t="s">
        <v>304</v>
      </c>
      <c r="D229" s="73">
        <v>59.55</v>
      </c>
      <c r="E229" s="74" t="s">
        <v>154</v>
      </c>
    </row>
    <row r="230" spans="1:5" x14ac:dyDescent="0.35">
      <c r="A230" s="71" t="str">
        <f>IF(TRIM(E230)&lt;&gt;"",COUNTA(E$11:$E230)&amp;"","")</f>
        <v>133</v>
      </c>
      <c r="B230" s="34"/>
      <c r="C230" s="69" t="s">
        <v>305</v>
      </c>
      <c r="D230" s="73">
        <v>58.25</v>
      </c>
      <c r="E230" s="74" t="s">
        <v>154</v>
      </c>
    </row>
    <row r="231" spans="1:5" x14ac:dyDescent="0.35">
      <c r="A231" s="71" t="str">
        <f>IF(TRIM(E231)&lt;&gt;"",COUNTA(E$11:$E231)&amp;"","")</f>
        <v/>
      </c>
      <c r="B231" s="34"/>
      <c r="C231" s="262" t="s">
        <v>294</v>
      </c>
      <c r="D231" s="73"/>
      <c r="E231" s="74"/>
    </row>
    <row r="232" spans="1:5" x14ac:dyDescent="0.35">
      <c r="A232" s="71" t="str">
        <f>IF(TRIM(E232)&lt;&gt;"",COUNTA(E$11:$E232)&amp;"","")</f>
        <v/>
      </c>
      <c r="B232" s="34"/>
      <c r="C232" s="69"/>
      <c r="D232" s="73"/>
      <c r="E232" s="74"/>
    </row>
    <row r="233" spans="1:5" s="18" customFormat="1" ht="19.149999999999999" customHeight="1" x14ac:dyDescent="0.35">
      <c r="A233" s="71" t="str">
        <f>IF(TRIM(E233)&lt;&gt;"",COUNTA(E$11:$E233)&amp;"","")</f>
        <v/>
      </c>
      <c r="B233" s="207" t="s">
        <v>181</v>
      </c>
      <c r="C233" s="205" t="s">
        <v>306</v>
      </c>
      <c r="D233" s="73"/>
      <c r="E233" s="74"/>
    </row>
    <row r="234" spans="1:5" x14ac:dyDescent="0.35">
      <c r="A234" s="71" t="str">
        <f>IF(TRIM(E234)&lt;&gt;"",COUNTA(E$11:$E234)&amp;"","")</f>
        <v>134</v>
      </c>
      <c r="B234" s="34"/>
      <c r="C234" s="69" t="s">
        <v>307</v>
      </c>
      <c r="D234" s="73">
        <v>1596.04</v>
      </c>
      <c r="E234" s="74" t="s">
        <v>141</v>
      </c>
    </row>
    <row r="235" spans="1:5" x14ac:dyDescent="0.35">
      <c r="A235" s="71" t="str">
        <f>IF(TRIM(E235)&lt;&gt;"",COUNTA(E$11:$E235)&amp;"","")</f>
        <v/>
      </c>
      <c r="B235" s="34"/>
      <c r="C235" s="69"/>
      <c r="D235" s="73"/>
      <c r="E235" s="74"/>
    </row>
    <row r="236" spans="1:5" s="18" customFormat="1" ht="19.149999999999999" customHeight="1" x14ac:dyDescent="0.35">
      <c r="A236" s="71" t="str">
        <f>IF(TRIM(E236)&lt;&gt;"",COUNTA(E$11:$E236)&amp;"","")</f>
        <v/>
      </c>
      <c r="B236" s="207" t="s">
        <v>88</v>
      </c>
      <c r="C236" s="205" t="s">
        <v>87</v>
      </c>
      <c r="D236" s="73"/>
      <c r="E236" s="74"/>
    </row>
    <row r="237" spans="1:5" x14ac:dyDescent="0.35">
      <c r="A237" s="71" t="str">
        <f>IF(TRIM(E237)&lt;&gt;"",COUNTA(E$11:$E237)&amp;"","")</f>
        <v/>
      </c>
      <c r="B237" s="34"/>
      <c r="C237" s="267" t="s">
        <v>500</v>
      </c>
      <c r="D237" s="73"/>
      <c r="E237" s="74"/>
    </row>
    <row r="238" spans="1:5" ht="46.5" x14ac:dyDescent="0.35">
      <c r="A238" s="71" t="str">
        <f>IF(TRIM(E238)&lt;&gt;"",COUNTA(E$11:$E238)&amp;"","")</f>
        <v>135</v>
      </c>
      <c r="B238" s="34"/>
      <c r="C238" s="266" t="s">
        <v>498</v>
      </c>
      <c r="D238" s="73">
        <f>(3271.392/250)+(3271.392/400)</f>
        <v>21.264047999999999</v>
      </c>
      <c r="E238" s="74" t="s">
        <v>192</v>
      </c>
    </row>
    <row r="239" spans="1:5" x14ac:dyDescent="0.35">
      <c r="A239" s="71" t="str">
        <f>IF(TRIM(E239)&lt;&gt;"",COUNTA(E$11:$E239)&amp;"","")</f>
        <v/>
      </c>
      <c r="B239" s="34"/>
      <c r="C239" s="69"/>
      <c r="D239" s="73"/>
      <c r="E239" s="74"/>
    </row>
    <row r="240" spans="1:5" x14ac:dyDescent="0.35">
      <c r="A240" s="71" t="str">
        <f>IF(TRIM(E240)&lt;&gt;"",COUNTA(E$11:$E240)&amp;"","")</f>
        <v/>
      </c>
      <c r="B240" s="34"/>
      <c r="C240" s="267" t="s">
        <v>501</v>
      </c>
      <c r="D240" s="73"/>
      <c r="E240" s="74"/>
    </row>
    <row r="241" spans="1:5" ht="46.5" x14ac:dyDescent="0.35">
      <c r="A241" s="71" t="str">
        <f>IF(TRIM(E241)&lt;&gt;"",COUNTA(E$11:$E241)&amp;"","")</f>
        <v>136</v>
      </c>
      <c r="B241" s="34"/>
      <c r="C241" s="266" t="s">
        <v>499</v>
      </c>
      <c r="D241" s="73">
        <f>(2942.32/250)+(2942.32/400)</f>
        <v>19.125080000000001</v>
      </c>
      <c r="E241" s="74" t="s">
        <v>192</v>
      </c>
    </row>
    <row r="242" spans="1:5" x14ac:dyDescent="0.35">
      <c r="A242" s="71" t="str">
        <f>IF(TRIM(E242)&lt;&gt;"",COUNTA(E$11:$E242)&amp;"","")</f>
        <v/>
      </c>
      <c r="B242" s="34"/>
      <c r="C242" s="69"/>
      <c r="D242" s="73"/>
      <c r="E242" s="74"/>
    </row>
    <row r="243" spans="1:5" x14ac:dyDescent="0.35">
      <c r="A243" s="71" t="str">
        <f>IF(TRIM(E243)&lt;&gt;"",COUNTA(E$11:$E243)&amp;"","")</f>
        <v/>
      </c>
      <c r="B243" s="34"/>
      <c r="C243" s="267" t="s">
        <v>503</v>
      </c>
      <c r="D243" s="73"/>
      <c r="E243" s="74"/>
    </row>
    <row r="244" spans="1:5" ht="46.5" x14ac:dyDescent="0.35">
      <c r="A244" s="71" t="str">
        <f>IF(TRIM(E244)&lt;&gt;"",COUNTA(E$11:$E244)&amp;"","")</f>
        <v>137</v>
      </c>
      <c r="B244" s="34"/>
      <c r="C244" s="266" t="s">
        <v>502</v>
      </c>
      <c r="D244" s="73">
        <f>(7152/250)+(7152/400)</f>
        <v>46.488</v>
      </c>
      <c r="E244" s="74" t="s">
        <v>192</v>
      </c>
    </row>
    <row r="245" spans="1:5" x14ac:dyDescent="0.35">
      <c r="A245" s="71" t="str">
        <f>IF(TRIM(E245)&lt;&gt;"",COUNTA(E$11:$E245)&amp;"","")</f>
        <v/>
      </c>
      <c r="B245" s="34"/>
      <c r="C245" s="69"/>
      <c r="D245" s="73"/>
      <c r="E245" s="74"/>
    </row>
    <row r="246" spans="1:5" x14ac:dyDescent="0.35">
      <c r="A246" s="71" t="str">
        <f>IF(TRIM(E246)&lt;&gt;"",COUNTA(E$11:$E246)&amp;"","")</f>
        <v/>
      </c>
      <c r="B246" s="34"/>
      <c r="C246" s="267" t="s">
        <v>504</v>
      </c>
      <c r="D246" s="73"/>
      <c r="E246" s="74"/>
    </row>
    <row r="247" spans="1:5" ht="46.5" x14ac:dyDescent="0.35">
      <c r="A247" s="71" t="str">
        <f>IF(TRIM(E247)&lt;&gt;"",COUNTA(E$11:$E247)&amp;"","")</f>
        <v>138</v>
      </c>
      <c r="B247" s="34"/>
      <c r="C247" s="266" t="s">
        <v>499</v>
      </c>
      <c r="D247" s="73">
        <f>(1278/250)+(1278/400)</f>
        <v>8.3070000000000004</v>
      </c>
      <c r="E247" s="74" t="s">
        <v>192</v>
      </c>
    </row>
    <row r="248" spans="1:5" x14ac:dyDescent="0.35">
      <c r="A248" s="71" t="str">
        <f>IF(TRIM(E248)&lt;&gt;"",COUNTA(E$11:$E248)&amp;"","")</f>
        <v/>
      </c>
      <c r="B248" s="34"/>
      <c r="C248" s="69"/>
      <c r="D248" s="73"/>
      <c r="E248" s="74"/>
    </row>
    <row r="249" spans="1:5" x14ac:dyDescent="0.35">
      <c r="A249" s="71" t="str">
        <f>IF(TRIM(E249)&lt;&gt;"",COUNTA(E$11:$E249)&amp;"","")</f>
        <v/>
      </c>
      <c r="B249" s="34"/>
      <c r="C249" s="267" t="s">
        <v>625</v>
      </c>
      <c r="D249" s="73">
        <f>((D172+D173)*48+(D174+D175)*32+(D176*15))-D189</f>
        <v>26679.470000000005</v>
      </c>
      <c r="E249" s="74"/>
    </row>
    <row r="250" spans="1:5" ht="46.5" x14ac:dyDescent="0.35">
      <c r="A250" s="71" t="str">
        <f>IF(TRIM(E250)&lt;&gt;"",COUNTA(E$11:$E250)&amp;"","")</f>
        <v>139</v>
      </c>
      <c r="B250" s="34"/>
      <c r="C250" s="271" t="s">
        <v>624</v>
      </c>
      <c r="D250" s="73">
        <f>(D249/250)+(D249/400)</f>
        <v>173.41655500000002</v>
      </c>
      <c r="E250" s="74" t="s">
        <v>192</v>
      </c>
    </row>
    <row r="251" spans="1:5" x14ac:dyDescent="0.35">
      <c r="A251" s="71" t="str">
        <f>IF(TRIM(E251)&lt;&gt;"",COUNTA(E$11:$E251)&amp;"","")</f>
        <v/>
      </c>
      <c r="B251" s="34"/>
      <c r="C251" s="69"/>
      <c r="D251" s="73"/>
      <c r="E251" s="74"/>
    </row>
    <row r="252" spans="1:5" x14ac:dyDescent="0.35">
      <c r="A252" s="71" t="str">
        <f>IF(TRIM(E252)&lt;&gt;"",COUNTA(E$11:$E252)&amp;"","")</f>
        <v/>
      </c>
      <c r="B252" s="34"/>
      <c r="C252" s="267" t="s">
        <v>627</v>
      </c>
      <c r="D252" s="73">
        <f>(D180+D181+D182)*32</f>
        <v>6994.8600000000006</v>
      </c>
      <c r="E252" s="74"/>
    </row>
    <row r="253" spans="1:5" ht="46.5" x14ac:dyDescent="0.35">
      <c r="A253" s="71" t="str">
        <f>IF(TRIM(E253)&lt;&gt;"",COUNTA(E$11:$E253)&amp;"","")</f>
        <v>140</v>
      </c>
      <c r="B253" s="34"/>
      <c r="C253" s="271" t="s">
        <v>626</v>
      </c>
      <c r="D253" s="73">
        <f>(D252/250)+(D252/400)</f>
        <v>45.466590000000004</v>
      </c>
      <c r="E253" s="74" t="s">
        <v>192</v>
      </c>
    </row>
    <row r="254" spans="1:5" x14ac:dyDescent="0.35">
      <c r="A254" s="71" t="str">
        <f>IF(TRIM(E254)&lt;&gt;"",COUNTA(E$11:$E254)&amp;"","")</f>
        <v/>
      </c>
      <c r="B254" s="34"/>
      <c r="C254" s="69"/>
      <c r="D254" s="73"/>
      <c r="E254" s="74"/>
    </row>
    <row r="255" spans="1:5" x14ac:dyDescent="0.35">
      <c r="A255" s="71" t="str">
        <f>IF(TRIM(E255)&lt;&gt;"",COUNTA(E$11:$E255)&amp;"","")</f>
        <v/>
      </c>
      <c r="B255" s="34"/>
      <c r="C255" s="256" t="s">
        <v>199</v>
      </c>
      <c r="D255" s="73"/>
      <c r="E255" s="74"/>
    </row>
    <row r="256" spans="1:5" x14ac:dyDescent="0.35">
      <c r="A256" s="71" t="str">
        <f>IF(TRIM(E256)&lt;&gt;"",COUNTA(E$11:$E256)&amp;"","")</f>
        <v>141</v>
      </c>
      <c r="B256" s="34"/>
      <c r="C256" s="56" t="s">
        <v>505</v>
      </c>
      <c r="D256" s="73">
        <v>128</v>
      </c>
      <c r="E256" s="74" t="s">
        <v>154</v>
      </c>
    </row>
    <row r="257" spans="1:5" x14ac:dyDescent="0.35">
      <c r="A257" s="71" t="str">
        <f>IF(TRIM(E257)&lt;&gt;"",COUNTA(E$11:$E257)&amp;"","")</f>
        <v>142</v>
      </c>
      <c r="B257" s="34"/>
      <c r="C257" s="56" t="s">
        <v>205</v>
      </c>
      <c r="D257" s="73">
        <f>27*1.15</f>
        <v>31.049999999999997</v>
      </c>
      <c r="E257" s="74" t="s">
        <v>154</v>
      </c>
    </row>
    <row r="258" spans="1:5" s="2" customFormat="1" ht="16" thickBot="1" x14ac:dyDescent="0.4">
      <c r="A258" s="84" t="str">
        <f>IF(TRIM(E258)&lt;&gt;"",COUNTA(E$11:$E258)&amp;"","")</f>
        <v/>
      </c>
      <c r="B258" s="20"/>
      <c r="C258" s="19"/>
      <c r="D258" s="179"/>
      <c r="E258" s="190"/>
    </row>
    <row r="259" spans="1:5" ht="25" customHeight="1" thickBot="1" x14ac:dyDescent="0.4">
      <c r="A259" s="181" t="str">
        <f>IF(TRIM(E259)&lt;&gt;"",COUNTA(E$11:$E259)&amp;"","")</f>
        <v/>
      </c>
      <c r="B259" s="193" t="s">
        <v>53</v>
      </c>
      <c r="C259" s="193" t="s">
        <v>54</v>
      </c>
      <c r="D259" s="194"/>
      <c r="E259" s="184"/>
    </row>
    <row r="260" spans="1:5" s="18" customFormat="1" ht="19.149999999999999" customHeight="1" x14ac:dyDescent="0.35">
      <c r="A260" s="71" t="str">
        <f>IF(TRIM(E260)&lt;&gt;"",COUNTA(E$11:$E260)&amp;"","")</f>
        <v/>
      </c>
      <c r="B260" s="207" t="s">
        <v>182</v>
      </c>
      <c r="C260" s="205" t="s">
        <v>89</v>
      </c>
      <c r="D260" s="73"/>
      <c r="E260" s="74"/>
    </row>
    <row r="261" spans="1:5" x14ac:dyDescent="0.35">
      <c r="A261" s="71" t="str">
        <f>IF(TRIM(E261)&lt;&gt;"",COUNTA(E$11:$E261)&amp;"","")</f>
        <v>143</v>
      </c>
      <c r="B261" s="34"/>
      <c r="C261" s="56" t="s">
        <v>256</v>
      </c>
      <c r="D261" s="73">
        <v>15</v>
      </c>
      <c r="E261" s="74" t="s">
        <v>192</v>
      </c>
    </row>
    <row r="262" spans="1:5" x14ac:dyDescent="0.35">
      <c r="A262" s="71" t="str">
        <f>IF(TRIM(E262)&lt;&gt;"",COUNTA(E$11:$E262)&amp;"","")</f>
        <v>144</v>
      </c>
      <c r="B262" s="34"/>
      <c r="C262" s="56" t="s">
        <v>257</v>
      </c>
      <c r="D262" s="73">
        <v>10</v>
      </c>
      <c r="E262" s="74" t="s">
        <v>192</v>
      </c>
    </row>
    <row r="263" spans="1:5" x14ac:dyDescent="0.35">
      <c r="A263" s="71" t="str">
        <f>IF(TRIM(E263)&lt;&gt;"",COUNTA(E$11:$E263)&amp;"","")</f>
        <v>145</v>
      </c>
      <c r="B263" s="34"/>
      <c r="C263" s="56" t="s">
        <v>258</v>
      </c>
      <c r="D263" s="73">
        <v>15</v>
      </c>
      <c r="E263" s="74" t="s">
        <v>192</v>
      </c>
    </row>
    <row r="264" spans="1:5" ht="29" x14ac:dyDescent="0.35">
      <c r="A264" s="71" t="str">
        <f>IF(TRIM(E264)&lt;&gt;"",COUNTA(E$11:$E264)&amp;"","")</f>
        <v>146</v>
      </c>
      <c r="B264" s="34"/>
      <c r="C264" s="56" t="s">
        <v>263</v>
      </c>
      <c r="D264" s="73">
        <v>15</v>
      </c>
      <c r="E264" s="74" t="s">
        <v>192</v>
      </c>
    </row>
    <row r="265" spans="1:5" x14ac:dyDescent="0.35">
      <c r="A265" s="71" t="str">
        <f>IF(TRIM(E265)&lt;&gt;"",COUNTA(E$11:$E265)&amp;"","")</f>
        <v>147</v>
      </c>
      <c r="B265" s="34"/>
      <c r="C265" s="56" t="s">
        <v>259</v>
      </c>
      <c r="D265" s="73">
        <v>15</v>
      </c>
      <c r="E265" s="74" t="s">
        <v>192</v>
      </c>
    </row>
    <row r="266" spans="1:5" x14ac:dyDescent="0.35">
      <c r="A266" s="71" t="str">
        <f>IF(TRIM(E266)&lt;&gt;"",COUNTA(E$11:$E266)&amp;"","")</f>
        <v>148</v>
      </c>
      <c r="B266" s="34"/>
      <c r="C266" s="56" t="s">
        <v>260</v>
      </c>
      <c r="D266" s="73">
        <v>15</v>
      </c>
      <c r="E266" s="74" t="s">
        <v>192</v>
      </c>
    </row>
    <row r="267" spans="1:5" x14ac:dyDescent="0.35">
      <c r="A267" s="71" t="str">
        <f>IF(TRIM(E267)&lt;&gt;"",COUNTA(E$11:$E267)&amp;"","")</f>
        <v>149</v>
      </c>
      <c r="B267" s="34"/>
      <c r="C267" s="56" t="s">
        <v>261</v>
      </c>
      <c r="D267" s="73">
        <v>15</v>
      </c>
      <c r="E267" s="74" t="s">
        <v>192</v>
      </c>
    </row>
    <row r="268" spans="1:5" x14ac:dyDescent="0.35">
      <c r="A268" s="71" t="str">
        <f>IF(TRIM(E268)&lt;&gt;"",COUNTA(E$11:$E268)&amp;"","")</f>
        <v>150</v>
      </c>
      <c r="B268" s="34"/>
      <c r="C268" s="56" t="s">
        <v>262</v>
      </c>
      <c r="D268" s="73">
        <v>10</v>
      </c>
      <c r="E268" s="74" t="s">
        <v>192</v>
      </c>
    </row>
    <row r="269" spans="1:5" x14ac:dyDescent="0.35">
      <c r="A269" s="71" t="str">
        <f>IF(TRIM(E269)&lt;&gt;"",COUNTA(E$11:$E269)&amp;"","")</f>
        <v/>
      </c>
      <c r="B269" s="34"/>
      <c r="C269" s="56"/>
      <c r="D269" s="73"/>
      <c r="E269" s="74"/>
    </row>
    <row r="270" spans="1:5" s="18" customFormat="1" ht="19.149999999999999" customHeight="1" x14ac:dyDescent="0.35">
      <c r="A270" s="71" t="str">
        <f>IF(TRIM(E270)&lt;&gt;"",COUNTA(E$11:$E270)&amp;"","")</f>
        <v/>
      </c>
      <c r="B270" s="207" t="s">
        <v>91</v>
      </c>
      <c r="C270" s="205" t="s">
        <v>90</v>
      </c>
      <c r="D270" s="73"/>
      <c r="E270" s="74"/>
    </row>
    <row r="271" spans="1:5" x14ac:dyDescent="0.35">
      <c r="A271" s="71" t="str">
        <f>IF(TRIM(E271)&lt;&gt;"",COUNTA(E$11:$E271)&amp;"","")</f>
        <v>151</v>
      </c>
      <c r="B271" s="34"/>
      <c r="C271" s="56" t="s">
        <v>264</v>
      </c>
      <c r="D271" s="73">
        <v>74.3</v>
      </c>
      <c r="E271" s="74" t="s">
        <v>154</v>
      </c>
    </row>
    <row r="272" spans="1:5" x14ac:dyDescent="0.35">
      <c r="A272" s="71" t="str">
        <f>IF(TRIM(E272)&lt;&gt;"",COUNTA(E$11:$E272)&amp;"","")</f>
        <v>152</v>
      </c>
      <c r="B272" s="34"/>
      <c r="C272" s="56" t="s">
        <v>265</v>
      </c>
      <c r="D272" s="73">
        <v>60.8</v>
      </c>
      <c r="E272" s="74" t="s">
        <v>154</v>
      </c>
    </row>
    <row r="273" spans="1:5" x14ac:dyDescent="0.35">
      <c r="A273" s="71" t="str">
        <f>IF(TRIM(E273)&lt;&gt;"",COUNTA(E$11:$E273)&amp;"","")</f>
        <v>153</v>
      </c>
      <c r="B273" s="34"/>
      <c r="C273" s="56" t="s">
        <v>266</v>
      </c>
      <c r="D273" s="73">
        <v>5</v>
      </c>
      <c r="E273" s="74" t="s">
        <v>192</v>
      </c>
    </row>
    <row r="274" spans="1:5" x14ac:dyDescent="0.35">
      <c r="A274" s="71" t="str">
        <f>IF(TRIM(E274)&lt;&gt;"",COUNTA(E$11:$E274)&amp;"","")</f>
        <v>154</v>
      </c>
      <c r="B274" s="34"/>
      <c r="C274" s="56" t="s">
        <v>635</v>
      </c>
      <c r="D274" s="73">
        <v>58.64</v>
      </c>
      <c r="E274" s="74" t="s">
        <v>154</v>
      </c>
    </row>
    <row r="275" spans="1:5" x14ac:dyDescent="0.35">
      <c r="A275" s="71" t="str">
        <f>IF(TRIM(E275)&lt;&gt;"",COUNTA(E$11:$E275)&amp;"","")</f>
        <v>155</v>
      </c>
      <c r="B275" s="34"/>
      <c r="C275" s="56" t="s">
        <v>636</v>
      </c>
      <c r="D275" s="73">
        <v>45.21</v>
      </c>
      <c r="E275" s="74" t="s">
        <v>154</v>
      </c>
    </row>
    <row r="276" spans="1:5" x14ac:dyDescent="0.35">
      <c r="A276" s="71" t="str">
        <f>IF(TRIM(E276)&lt;&gt;"",COUNTA(E$11:$E276)&amp;"","")</f>
        <v>156</v>
      </c>
      <c r="B276" s="34"/>
      <c r="C276" s="56" t="s">
        <v>267</v>
      </c>
      <c r="D276" s="73">
        <v>28.65</v>
      </c>
      <c r="E276" s="74" t="s">
        <v>154</v>
      </c>
    </row>
    <row r="277" spans="1:5" s="2" customFormat="1" ht="16" thickBot="1" x14ac:dyDescent="0.4">
      <c r="A277" s="84" t="str">
        <f>IF(TRIM(E277)&lt;&gt;"",COUNTA(E$11:$E277)&amp;"","")</f>
        <v/>
      </c>
      <c r="B277" s="37"/>
      <c r="C277" s="19"/>
      <c r="D277" s="90"/>
      <c r="E277" s="91"/>
    </row>
    <row r="278" spans="1:5" ht="25" customHeight="1" thickBot="1" x14ac:dyDescent="0.4">
      <c r="A278" s="181" t="str">
        <f>IF(TRIM(E278)&lt;&gt;"",COUNTA(E$11:$E278)&amp;"","")</f>
        <v/>
      </c>
      <c r="B278" s="193" t="s">
        <v>55</v>
      </c>
      <c r="C278" s="193" t="s">
        <v>56</v>
      </c>
      <c r="D278" s="194"/>
      <c r="E278" s="184"/>
    </row>
    <row r="279" spans="1:5" s="18" customFormat="1" ht="19.149999999999999" customHeight="1" x14ac:dyDescent="0.35">
      <c r="A279" s="71" t="str">
        <f>IF(TRIM(E279)&lt;&gt;"",COUNTA(E$11:$E279)&amp;"","")</f>
        <v/>
      </c>
      <c r="B279" s="207" t="s">
        <v>93</v>
      </c>
      <c r="C279" s="205" t="s">
        <v>92</v>
      </c>
      <c r="D279" s="73"/>
      <c r="E279" s="74"/>
    </row>
    <row r="280" spans="1:5" x14ac:dyDescent="0.35">
      <c r="A280" s="71" t="str">
        <f>IF(TRIM(E280)&lt;&gt;"",COUNTA(E$11:$E280)&amp;"","")</f>
        <v>157</v>
      </c>
      <c r="B280" s="34"/>
      <c r="C280" s="56" t="s">
        <v>268</v>
      </c>
      <c r="D280" s="73">
        <v>10</v>
      </c>
      <c r="E280" s="74" t="s">
        <v>192</v>
      </c>
    </row>
    <row r="281" spans="1:5" x14ac:dyDescent="0.35">
      <c r="A281" s="71" t="str">
        <f>IF(TRIM(E281)&lt;&gt;"",COUNTA(E$11:$E281)&amp;"","")</f>
        <v>158</v>
      </c>
      <c r="B281" s="34"/>
      <c r="C281" s="56" t="s">
        <v>269</v>
      </c>
      <c r="D281" s="73">
        <v>5</v>
      </c>
      <c r="E281" s="74" t="s">
        <v>192</v>
      </c>
    </row>
    <row r="282" spans="1:5" x14ac:dyDescent="0.35">
      <c r="A282" s="71" t="str">
        <f>IF(TRIM(E282)&lt;&gt;"",COUNTA(E$11:$E282)&amp;"","")</f>
        <v>159</v>
      </c>
      <c r="B282" s="34"/>
      <c r="C282" s="56" t="s">
        <v>270</v>
      </c>
      <c r="D282" s="73">
        <v>5</v>
      </c>
      <c r="E282" s="74" t="s">
        <v>192</v>
      </c>
    </row>
    <row r="283" spans="1:5" x14ac:dyDescent="0.35">
      <c r="A283" s="71" t="str">
        <f>IF(TRIM(E283)&lt;&gt;"",COUNTA(E$11:$E283)&amp;"","")</f>
        <v>160</v>
      </c>
      <c r="B283" s="34"/>
      <c r="C283" s="56" t="s">
        <v>271</v>
      </c>
      <c r="D283" s="73">
        <v>5</v>
      </c>
      <c r="E283" s="74" t="s">
        <v>192</v>
      </c>
    </row>
    <row r="284" spans="1:5" x14ac:dyDescent="0.35">
      <c r="A284" s="71" t="str">
        <f>IF(TRIM(E284)&lt;&gt;"",COUNTA(E$11:$E284)&amp;"","")</f>
        <v>161</v>
      </c>
      <c r="B284" s="34"/>
      <c r="C284" s="56" t="s">
        <v>272</v>
      </c>
      <c r="D284" s="73">
        <v>5</v>
      </c>
      <c r="E284" s="74" t="s">
        <v>192</v>
      </c>
    </row>
    <row r="285" spans="1:5" s="2" customFormat="1" ht="16" thickBot="1" x14ac:dyDescent="0.4">
      <c r="A285" s="84" t="str">
        <f>IF(TRIM(E285)&lt;&gt;"",COUNTA(E$11:$E285)&amp;"","")</f>
        <v/>
      </c>
      <c r="B285" s="37"/>
      <c r="C285" s="19"/>
      <c r="D285" s="90"/>
      <c r="E285" s="91"/>
    </row>
    <row r="286" spans="1:5" ht="25" customHeight="1" thickBot="1" x14ac:dyDescent="0.4">
      <c r="A286" s="181" t="str">
        <f>IF(TRIM(E286)&lt;&gt;"",COUNTA(E$11:$E286)&amp;"","")</f>
        <v/>
      </c>
      <c r="B286" s="193" t="s">
        <v>57</v>
      </c>
      <c r="C286" s="193" t="s">
        <v>58</v>
      </c>
      <c r="D286" s="194"/>
      <c r="E286" s="184"/>
    </row>
    <row r="287" spans="1:5" s="18" customFormat="1" ht="19.149999999999999" customHeight="1" x14ac:dyDescent="0.35">
      <c r="A287" s="71" t="str">
        <f>IF(TRIM(E287)&lt;&gt;"",COUNTA(E$11:$E287)&amp;"","")</f>
        <v/>
      </c>
      <c r="B287" s="207" t="s">
        <v>95</v>
      </c>
      <c r="C287" s="205" t="s">
        <v>94</v>
      </c>
      <c r="D287" s="73"/>
      <c r="E287" s="74"/>
    </row>
    <row r="288" spans="1:5" x14ac:dyDescent="0.35">
      <c r="A288" s="71" t="str">
        <f>IF(TRIM(E288)&lt;&gt;"",COUNTA(E$11:$E288)&amp;"","")</f>
        <v>162</v>
      </c>
      <c r="B288" s="34"/>
      <c r="C288" s="56" t="s">
        <v>273</v>
      </c>
      <c r="D288" s="73">
        <v>126.16</v>
      </c>
      <c r="E288" s="74" t="s">
        <v>141</v>
      </c>
    </row>
    <row r="289" spans="1:5" x14ac:dyDescent="0.35">
      <c r="A289" s="71" t="str">
        <f>IF(TRIM(E289)&lt;&gt;"",COUNTA(E$11:$E289)&amp;"","")</f>
        <v>163</v>
      </c>
      <c r="B289" s="34"/>
      <c r="C289" s="56" t="s">
        <v>274</v>
      </c>
      <c r="D289" s="73">
        <v>76.92</v>
      </c>
      <c r="E289" s="74" t="s">
        <v>141</v>
      </c>
    </row>
    <row r="290" spans="1:5" x14ac:dyDescent="0.35">
      <c r="A290" s="71" t="str">
        <f>IF(TRIM(E290)&lt;&gt;"",COUNTA(E$11:$E290)&amp;"","")</f>
        <v/>
      </c>
      <c r="B290" s="34"/>
      <c r="C290" s="261"/>
      <c r="D290" s="73"/>
      <c r="E290" s="74"/>
    </row>
    <row r="291" spans="1:5" s="18" customFormat="1" ht="19.149999999999999" customHeight="1" x14ac:dyDescent="0.35">
      <c r="A291" s="71" t="str">
        <f>IF(TRIM(E291)&lt;&gt;"",COUNTA(E$11:$E291)&amp;"","")</f>
        <v/>
      </c>
      <c r="B291" s="34"/>
      <c r="C291" s="206" t="s">
        <v>275</v>
      </c>
      <c r="D291" s="73"/>
      <c r="E291" s="74"/>
    </row>
    <row r="292" spans="1:5" x14ac:dyDescent="0.35">
      <c r="A292" s="71" t="str">
        <f>IF(TRIM(E292)&lt;&gt;"",COUNTA(E$11:$E292)&amp;"","")</f>
        <v>164</v>
      </c>
      <c r="B292" s="34"/>
      <c r="C292" s="56" t="s">
        <v>276</v>
      </c>
      <c r="D292" s="73">
        <v>53.22</v>
      </c>
      <c r="E292" s="74" t="s">
        <v>154</v>
      </c>
    </row>
    <row r="293" spans="1:5" s="2" customFormat="1" ht="16" thickBot="1" x14ac:dyDescent="0.4">
      <c r="A293" s="84" t="str">
        <f>IF(TRIM(E293)&lt;&gt;"",COUNTA(E$11:$E293)&amp;"","")</f>
        <v/>
      </c>
      <c r="B293" s="37"/>
      <c r="C293" s="19"/>
      <c r="D293" s="90"/>
      <c r="E293" s="91"/>
    </row>
    <row r="294" spans="1:5" ht="30" customHeight="1" thickBot="1" x14ac:dyDescent="0.4">
      <c r="A294" s="186" t="str">
        <f>IF(TRIM(E294)&lt;&gt;"",COUNTA(E$11:$E294)&amp;"","")</f>
        <v/>
      </c>
      <c r="B294" s="188"/>
      <c r="C294" s="208" t="s">
        <v>173</v>
      </c>
      <c r="D294" s="189"/>
      <c r="E294" s="189"/>
    </row>
    <row r="295" spans="1:5" ht="25" customHeight="1" thickBot="1" x14ac:dyDescent="0.4">
      <c r="A295" s="181" t="str">
        <f>IF(TRIM(E295)&lt;&gt;"",COUNTA(E$11:$E295)&amp;"","")</f>
        <v/>
      </c>
      <c r="B295" s="193" t="s">
        <v>134</v>
      </c>
      <c r="C295" s="193" t="s">
        <v>138</v>
      </c>
      <c r="D295" s="194"/>
      <c r="E295" s="184"/>
    </row>
    <row r="296" spans="1:5" ht="19.25" customHeight="1" x14ac:dyDescent="0.35">
      <c r="A296" s="71" t="str">
        <f>IF(TRIM(E296)&lt;&gt;"",COUNTA(E$11:$E296)&amp;"","")</f>
        <v/>
      </c>
      <c r="B296" s="34"/>
      <c r="C296" s="247" t="s">
        <v>194</v>
      </c>
      <c r="D296" s="246"/>
      <c r="E296" s="74"/>
    </row>
    <row r="297" spans="1:5" ht="23.5" customHeight="1" x14ac:dyDescent="0.35">
      <c r="A297" s="71" t="str">
        <f>IF(TRIM(E297)&lt;&gt;"",COUNTA(E$11:$E297)&amp;"","")</f>
        <v/>
      </c>
      <c r="B297" s="34"/>
      <c r="C297" s="263" t="s">
        <v>382</v>
      </c>
      <c r="D297" s="246"/>
      <c r="E297" s="74"/>
    </row>
    <row r="298" spans="1:5" x14ac:dyDescent="0.35">
      <c r="A298" s="71" t="str">
        <f>IF(TRIM(E298)&lt;&gt;"",COUNTA(E$11:$E298)&amp;"","")</f>
        <v>165</v>
      </c>
      <c r="B298" s="34"/>
      <c r="C298" s="56" t="s">
        <v>384</v>
      </c>
      <c r="D298" s="73">
        <f>864.13+189</f>
        <v>1053.1300000000001</v>
      </c>
      <c r="E298" s="74" t="s">
        <v>154</v>
      </c>
    </row>
    <row r="299" spans="1:5" x14ac:dyDescent="0.35">
      <c r="A299" s="71" t="str">
        <f>IF(TRIM(E299)&lt;&gt;"",COUNTA(E$11:$E299)&amp;"","")</f>
        <v>166</v>
      </c>
      <c r="B299" s="34"/>
      <c r="C299" s="56" t="s">
        <v>385</v>
      </c>
      <c r="D299" s="73">
        <v>122.51</v>
      </c>
      <c r="E299" s="74" t="s">
        <v>154</v>
      </c>
    </row>
    <row r="300" spans="1:5" x14ac:dyDescent="0.35">
      <c r="A300" s="71" t="str">
        <f>IF(TRIM(E300)&lt;&gt;"",COUNTA(E$11:$E300)&amp;"","")</f>
        <v>167</v>
      </c>
      <c r="B300" s="34"/>
      <c r="C300" s="56" t="s">
        <v>386</v>
      </c>
      <c r="D300" s="73">
        <v>12.69</v>
      </c>
      <c r="E300" s="74" t="s">
        <v>154</v>
      </c>
    </row>
    <row r="301" spans="1:5" x14ac:dyDescent="0.35">
      <c r="A301" s="71" t="str">
        <f>IF(TRIM(E301)&lt;&gt;"",COUNTA(E$11:$E301)&amp;"","")</f>
        <v/>
      </c>
      <c r="B301" s="34"/>
      <c r="C301" s="247" t="s">
        <v>387</v>
      </c>
      <c r="D301" s="73"/>
      <c r="E301" s="74"/>
    </row>
    <row r="302" spans="1:5" x14ac:dyDescent="0.35">
      <c r="A302" s="71" t="str">
        <f>IF(TRIM(E302)&lt;&gt;"",COUNTA(E$11:$E302)&amp;"","")</f>
        <v>168</v>
      </c>
      <c r="B302" s="34"/>
      <c r="C302" s="56" t="s">
        <v>388</v>
      </c>
      <c r="D302" s="73">
        <v>100</v>
      </c>
      <c r="E302" s="74" t="s">
        <v>192</v>
      </c>
    </row>
    <row r="303" spans="1:5" x14ac:dyDescent="0.35">
      <c r="A303" s="71" t="str">
        <f>IF(TRIM(E303)&lt;&gt;"",COUNTA(E$11:$E303)&amp;"","")</f>
        <v>169</v>
      </c>
      <c r="B303" s="34"/>
      <c r="C303" s="56" t="s">
        <v>389</v>
      </c>
      <c r="D303" s="73">
        <v>15</v>
      </c>
      <c r="E303" s="74" t="s">
        <v>192</v>
      </c>
    </row>
    <row r="304" spans="1:5" x14ac:dyDescent="0.35">
      <c r="A304" s="71" t="str">
        <f>IF(TRIM(E304)&lt;&gt;"",COUNTA(E$11:$E304)&amp;"","")</f>
        <v/>
      </c>
      <c r="B304" s="34"/>
      <c r="C304" s="247" t="s">
        <v>390</v>
      </c>
      <c r="D304" s="73"/>
      <c r="E304" s="74"/>
    </row>
    <row r="305" spans="1:5" x14ac:dyDescent="0.35">
      <c r="A305" s="71" t="str">
        <f>IF(TRIM(E305)&lt;&gt;"",COUNTA(E$11:$E305)&amp;"","")</f>
        <v>170</v>
      </c>
      <c r="B305" s="34"/>
      <c r="C305" s="56" t="s">
        <v>391</v>
      </c>
      <c r="D305" s="73">
        <v>4</v>
      </c>
      <c r="E305" s="74" t="s">
        <v>192</v>
      </c>
    </row>
    <row r="306" spans="1:5" x14ac:dyDescent="0.35">
      <c r="A306" s="71" t="str">
        <f>IF(TRIM(E306)&lt;&gt;"",COUNTA(E$11:$E306)&amp;"","")</f>
        <v>171</v>
      </c>
      <c r="B306" s="34"/>
      <c r="C306" s="56" t="s">
        <v>392</v>
      </c>
      <c r="D306" s="73">
        <v>3</v>
      </c>
      <c r="E306" s="74" t="s">
        <v>192</v>
      </c>
    </row>
    <row r="307" spans="1:5" x14ac:dyDescent="0.35">
      <c r="A307" s="71" t="str">
        <f>IF(TRIM(E307)&lt;&gt;"",COUNTA(E$11:$E307)&amp;"","")</f>
        <v>172</v>
      </c>
      <c r="B307" s="34"/>
      <c r="C307" s="56" t="s">
        <v>393</v>
      </c>
      <c r="D307" s="73">
        <v>3</v>
      </c>
      <c r="E307" s="74" t="s">
        <v>192</v>
      </c>
    </row>
    <row r="308" spans="1:5" x14ac:dyDescent="0.35">
      <c r="A308" s="71" t="str">
        <f>IF(TRIM(E308)&lt;&gt;"",COUNTA(E$11:$E308)&amp;"","")</f>
        <v/>
      </c>
      <c r="B308" s="34"/>
      <c r="C308" s="247" t="s">
        <v>394</v>
      </c>
      <c r="D308" s="73"/>
      <c r="E308" s="74"/>
    </row>
    <row r="309" spans="1:5" x14ac:dyDescent="0.35">
      <c r="A309" s="71" t="str">
        <f>IF(TRIM(E309)&lt;&gt;"",COUNTA(E$11:$E309)&amp;"","")</f>
        <v>173</v>
      </c>
      <c r="B309" s="34"/>
      <c r="C309" s="56" t="s">
        <v>395</v>
      </c>
      <c r="D309" s="73">
        <v>25</v>
      </c>
      <c r="E309" s="74" t="s">
        <v>192</v>
      </c>
    </row>
    <row r="310" spans="1:5" x14ac:dyDescent="0.35">
      <c r="A310" s="71" t="str">
        <f>IF(TRIM(E310)&lt;&gt;"",COUNTA(E$11:$E310)&amp;"","")</f>
        <v>174</v>
      </c>
      <c r="B310" s="34"/>
      <c r="C310" s="56" t="s">
        <v>396</v>
      </c>
      <c r="D310" s="73">
        <v>67</v>
      </c>
      <c r="E310" s="74" t="s">
        <v>192</v>
      </c>
    </row>
    <row r="311" spans="1:5" x14ac:dyDescent="0.35">
      <c r="A311" s="71" t="str">
        <f>IF(TRIM(E311)&lt;&gt;"",COUNTA(E$11:$E311)&amp;"","")</f>
        <v>175</v>
      </c>
      <c r="B311" s="34"/>
      <c r="C311" s="56" t="s">
        <v>397</v>
      </c>
      <c r="D311" s="73">
        <v>18</v>
      </c>
      <c r="E311" s="74" t="s">
        <v>192</v>
      </c>
    </row>
    <row r="312" spans="1:5" x14ac:dyDescent="0.35">
      <c r="A312" s="71" t="str">
        <f>IF(TRIM(E312)&lt;&gt;"",COUNTA(E$11:$E312)&amp;"","")</f>
        <v/>
      </c>
      <c r="B312" s="34"/>
      <c r="C312" s="247" t="s">
        <v>398</v>
      </c>
      <c r="D312" s="73"/>
      <c r="E312" s="74"/>
    </row>
    <row r="313" spans="1:5" x14ac:dyDescent="0.35">
      <c r="A313" s="71" t="str">
        <f>IF(TRIM(E313)&lt;&gt;"",COUNTA(E$11:$E313)&amp;"","")</f>
        <v>176</v>
      </c>
      <c r="B313" s="34"/>
      <c r="C313" s="56" t="s">
        <v>399</v>
      </c>
      <c r="D313" s="73">
        <v>1</v>
      </c>
      <c r="E313" s="74" t="s">
        <v>192</v>
      </c>
    </row>
    <row r="314" spans="1:5" ht="19.25" customHeight="1" x14ac:dyDescent="0.35">
      <c r="A314" s="71" t="str">
        <f>IF(TRIM(E314)&lt;&gt;"",COUNTA(E$11:$E314)&amp;"","")</f>
        <v/>
      </c>
      <c r="B314" s="34"/>
      <c r="C314" s="247" t="s">
        <v>400</v>
      </c>
      <c r="D314" s="246"/>
      <c r="E314" s="74"/>
    </row>
    <row r="315" spans="1:5" x14ac:dyDescent="0.35">
      <c r="A315" s="71" t="str">
        <f>IF(TRIM(E315)&lt;&gt;"",COUNTA(E$11:$E315)&amp;"","")</f>
        <v>177</v>
      </c>
      <c r="B315" s="34"/>
      <c r="C315" s="264" t="s">
        <v>401</v>
      </c>
      <c r="D315" s="73">
        <f>1053/12</f>
        <v>87.75</v>
      </c>
      <c r="E315" s="74" t="s">
        <v>192</v>
      </c>
    </row>
    <row r="316" spans="1:5" x14ac:dyDescent="0.35">
      <c r="A316" s="71" t="str">
        <f>IF(TRIM(E316)&lt;&gt;"",COUNTA(E$11:$E316)&amp;"","")</f>
        <v>178</v>
      </c>
      <c r="B316" s="34"/>
      <c r="C316" s="264" t="s">
        <v>402</v>
      </c>
      <c r="D316" s="73">
        <f>D315</f>
        <v>87.75</v>
      </c>
      <c r="E316" s="74" t="s">
        <v>192</v>
      </c>
    </row>
    <row r="317" spans="1:5" s="2" customFormat="1" ht="16" thickBot="1" x14ac:dyDescent="0.4">
      <c r="A317" s="84" t="str">
        <f>IF(TRIM(E317)&lt;&gt;"",COUNTA(E$11:$E317)&amp;"","")</f>
        <v/>
      </c>
      <c r="B317" s="37"/>
      <c r="C317" s="19"/>
      <c r="D317" s="90"/>
      <c r="E317" s="91"/>
    </row>
    <row r="318" spans="1:5" ht="25" customHeight="1" thickBot="1" x14ac:dyDescent="0.4">
      <c r="A318" s="181" t="str">
        <f>IF(TRIM(E318)&lt;&gt;"",COUNTA(E$11:$E318)&amp;"","")</f>
        <v/>
      </c>
      <c r="B318" s="193" t="s">
        <v>135</v>
      </c>
      <c r="C318" s="193" t="s">
        <v>139</v>
      </c>
      <c r="D318" s="194"/>
      <c r="E318" s="184"/>
    </row>
    <row r="319" spans="1:5" ht="19.25" customHeight="1" x14ac:dyDescent="0.35">
      <c r="A319" s="71" t="str">
        <f>IF(TRIM(E319)&lt;&gt;"",COUNTA(E$11:$E319)&amp;"","")</f>
        <v/>
      </c>
      <c r="B319" s="34"/>
      <c r="C319" s="247" t="s">
        <v>403</v>
      </c>
      <c r="D319" s="246"/>
      <c r="E319" s="74"/>
    </row>
    <row r="320" spans="1:5" ht="23.5" customHeight="1" x14ac:dyDescent="0.35">
      <c r="A320" s="71" t="str">
        <f>IF(TRIM(E320)&lt;&gt;"",COUNTA(E$11:$E320)&amp;"","")</f>
        <v/>
      </c>
      <c r="B320" s="34"/>
      <c r="C320" s="263" t="s">
        <v>404</v>
      </c>
      <c r="D320" s="246"/>
      <c r="E320" s="74"/>
    </row>
    <row r="321" spans="1:5" x14ac:dyDescent="0.35">
      <c r="A321" s="71" t="str">
        <f>IF(TRIM(E321)&lt;&gt;"",COUNTA(E$11:$E321)&amp;"","")</f>
        <v/>
      </c>
      <c r="B321" s="34"/>
      <c r="C321" s="259" t="s">
        <v>405</v>
      </c>
      <c r="D321" s="73"/>
      <c r="E321" s="74"/>
    </row>
    <row r="322" spans="1:5" x14ac:dyDescent="0.35">
      <c r="A322" s="71" t="str">
        <f>IF(TRIM(E322)&lt;&gt;"",COUNTA(E$11:$E322)&amp;"","")</f>
        <v>179</v>
      </c>
      <c r="B322" s="34"/>
      <c r="C322" s="56" t="s">
        <v>407</v>
      </c>
      <c r="D322" s="73">
        <v>140.37</v>
      </c>
      <c r="E322" s="74" t="s">
        <v>154</v>
      </c>
    </row>
    <row r="323" spans="1:5" x14ac:dyDescent="0.35">
      <c r="A323" s="71" t="str">
        <f>IF(TRIM(E323)&lt;&gt;"",COUNTA(E$11:$E323)&amp;"","")</f>
        <v>180</v>
      </c>
      <c r="B323" s="34"/>
      <c r="C323" s="56" t="s">
        <v>408</v>
      </c>
      <c r="D323" s="73">
        <v>15.58</v>
      </c>
      <c r="E323" s="74" t="s">
        <v>154</v>
      </c>
    </row>
    <row r="324" spans="1:5" x14ac:dyDescent="0.35">
      <c r="A324" s="71" t="str">
        <f>IF(TRIM(E324)&lt;&gt;"",COUNTA(E$11:$E324)&amp;"","")</f>
        <v/>
      </c>
      <c r="B324" s="34"/>
      <c r="C324" s="259" t="s">
        <v>409</v>
      </c>
      <c r="D324" s="73"/>
      <c r="E324" s="74"/>
    </row>
    <row r="325" spans="1:5" x14ac:dyDescent="0.35">
      <c r="A325" s="71" t="str">
        <f>IF(TRIM(E325)&lt;&gt;"",COUNTA(E$11:$E325)&amp;"","")</f>
        <v>181</v>
      </c>
      <c r="B325" s="34"/>
      <c r="C325" s="56" t="s">
        <v>410</v>
      </c>
      <c r="D325" s="73">
        <v>8.5500000000000007</v>
      </c>
      <c r="E325" s="74" t="s">
        <v>154</v>
      </c>
    </row>
    <row r="326" spans="1:5" ht="19.25" customHeight="1" x14ac:dyDescent="0.35">
      <c r="A326" s="71" t="str">
        <f>IF(TRIM(E326)&lt;&gt;"",COUNTA(E$11:$E326)&amp;"","")</f>
        <v/>
      </c>
      <c r="B326" s="34"/>
      <c r="C326" s="247" t="s">
        <v>411</v>
      </c>
      <c r="D326" s="246"/>
      <c r="E326" s="74"/>
    </row>
    <row r="327" spans="1:5" ht="21.5" customHeight="1" x14ac:dyDescent="0.35">
      <c r="A327" s="71" t="str">
        <f>IF(TRIM(E327)&lt;&gt;"",COUNTA(E$11:$E327)&amp;"","")</f>
        <v/>
      </c>
      <c r="B327" s="34"/>
      <c r="C327" s="263" t="s">
        <v>412</v>
      </c>
      <c r="D327" s="246"/>
      <c r="E327" s="74"/>
    </row>
    <row r="328" spans="1:5" x14ac:dyDescent="0.35">
      <c r="A328" s="71" t="str">
        <f>IF(TRIM(E328)&lt;&gt;"",COUNTA(E$11:$E328)&amp;"","")</f>
        <v/>
      </c>
      <c r="B328" s="34"/>
      <c r="C328" s="259" t="s">
        <v>413</v>
      </c>
      <c r="D328" s="73"/>
      <c r="E328" s="74"/>
    </row>
    <row r="329" spans="1:5" x14ac:dyDescent="0.35">
      <c r="A329" s="71" t="str">
        <f>IF(TRIM(E329)&lt;&gt;"",COUNTA(E$11:$E329)&amp;"","")</f>
        <v>182</v>
      </c>
      <c r="B329" s="34"/>
      <c r="C329" s="56" t="s">
        <v>414</v>
      </c>
      <c r="D329" s="73">
        <f>125.2+232</f>
        <v>357.2</v>
      </c>
      <c r="E329" s="74" t="s">
        <v>154</v>
      </c>
    </row>
    <row r="330" spans="1:5" x14ac:dyDescent="0.35">
      <c r="A330" s="71" t="str">
        <f>IF(TRIM(E330)&lt;&gt;"",COUNTA(E$11:$E330)&amp;"","")</f>
        <v>183</v>
      </c>
      <c r="B330" s="34"/>
      <c r="C330" s="56" t="s">
        <v>415</v>
      </c>
      <c r="D330" s="73">
        <f>33.27*(5)</f>
        <v>166.35000000000002</v>
      </c>
      <c r="E330" s="74" t="s">
        <v>154</v>
      </c>
    </row>
    <row r="331" spans="1:5" x14ac:dyDescent="0.35">
      <c r="A331" s="71" t="str">
        <f>IF(TRIM(E331)&lt;&gt;"",COUNTA(E$11:$E331)&amp;"","")</f>
        <v/>
      </c>
      <c r="B331" s="34"/>
      <c r="C331" s="259" t="s">
        <v>416</v>
      </c>
      <c r="D331" s="73"/>
      <c r="E331" s="74"/>
    </row>
    <row r="332" spans="1:5" x14ac:dyDescent="0.35">
      <c r="A332" s="71" t="str">
        <f>IF(TRIM(E332)&lt;&gt;"",COUNTA(E$11:$E332)&amp;"","")</f>
        <v>184</v>
      </c>
      <c r="B332" s="34"/>
      <c r="C332" s="56" t="s">
        <v>417</v>
      </c>
      <c r="D332" s="73">
        <f>45.16+138</f>
        <v>183.16</v>
      </c>
      <c r="E332" s="74" t="s">
        <v>154</v>
      </c>
    </row>
    <row r="333" spans="1:5" x14ac:dyDescent="0.35">
      <c r="A333" s="71" t="str">
        <f>IF(TRIM(E333)&lt;&gt;"",COUNTA(E$11:$E333)&amp;"","")</f>
        <v>185</v>
      </c>
      <c r="B333" s="34"/>
      <c r="C333" s="56" t="s">
        <v>418</v>
      </c>
      <c r="D333" s="73">
        <f>22.69*(5)</f>
        <v>113.45</v>
      </c>
      <c r="E333" s="74" t="s">
        <v>154</v>
      </c>
    </row>
    <row r="334" spans="1:5" x14ac:dyDescent="0.35">
      <c r="A334" s="71" t="str">
        <f>IF(TRIM(E334)&lt;&gt;"",COUNTA(E$11:$E334)&amp;"","")</f>
        <v>186</v>
      </c>
      <c r="B334" s="34"/>
      <c r="C334" s="56" t="s">
        <v>419</v>
      </c>
      <c r="D334" s="73">
        <f>7.9*(5)</f>
        <v>39.5</v>
      </c>
      <c r="E334" s="74" t="s">
        <v>154</v>
      </c>
    </row>
    <row r="335" spans="1:5" x14ac:dyDescent="0.35">
      <c r="A335" s="71" t="str">
        <f>IF(TRIM(E335)&lt;&gt;"",COUNTA(E$11:$E335)&amp;"","")</f>
        <v>187</v>
      </c>
      <c r="B335" s="34"/>
      <c r="C335" s="56" t="s">
        <v>420</v>
      </c>
      <c r="D335" s="73">
        <f>11.05*(5)</f>
        <v>55.25</v>
      </c>
      <c r="E335" s="74" t="s">
        <v>154</v>
      </c>
    </row>
    <row r="336" spans="1:5" ht="19.25" customHeight="1" x14ac:dyDescent="0.35">
      <c r="A336" s="71" t="str">
        <f>IF(TRIM(E336)&lt;&gt;"",COUNTA(E$11:$E336)&amp;"","")</f>
        <v/>
      </c>
      <c r="B336" s="34"/>
      <c r="C336" s="247" t="s">
        <v>421</v>
      </c>
      <c r="D336" s="246"/>
      <c r="E336" s="74"/>
    </row>
    <row r="337" spans="1:5" ht="21.5" customHeight="1" x14ac:dyDescent="0.35">
      <c r="A337" s="71" t="str">
        <f>IF(TRIM(E337)&lt;&gt;"",COUNTA(E$11:$E337)&amp;"","")</f>
        <v/>
      </c>
      <c r="B337" s="34"/>
      <c r="C337" s="263" t="s">
        <v>422</v>
      </c>
      <c r="D337" s="246"/>
      <c r="E337" s="74"/>
    </row>
    <row r="338" spans="1:5" x14ac:dyDescent="0.35">
      <c r="A338" s="71" t="str">
        <f>IF(TRIM(E338)&lt;&gt;"",COUNTA(E$11:$E338)&amp;"","")</f>
        <v/>
      </c>
      <c r="B338" s="34"/>
      <c r="C338" s="259" t="s">
        <v>423</v>
      </c>
      <c r="D338" s="73"/>
      <c r="E338" s="74"/>
    </row>
    <row r="339" spans="1:5" x14ac:dyDescent="0.35">
      <c r="A339" s="71" t="str">
        <f>IF(TRIM(E339)&lt;&gt;"",COUNTA(E$11:$E339)&amp;"","")</f>
        <v>188</v>
      </c>
      <c r="B339" s="34"/>
      <c r="C339" s="56" t="s">
        <v>424</v>
      </c>
      <c r="D339" s="73">
        <f>207.92+549</f>
        <v>756.92</v>
      </c>
      <c r="E339" s="74" t="s">
        <v>154</v>
      </c>
    </row>
    <row r="340" spans="1:5" x14ac:dyDescent="0.35">
      <c r="A340" s="71" t="str">
        <f>IF(TRIM(E340)&lt;&gt;"",COUNTA(E$11:$E340)&amp;"","")</f>
        <v>189</v>
      </c>
      <c r="B340" s="34"/>
      <c r="C340" s="56" t="s">
        <v>425</v>
      </c>
      <c r="D340" s="73">
        <v>43.03</v>
      </c>
      <c r="E340" s="74" t="s">
        <v>154</v>
      </c>
    </row>
    <row r="341" spans="1:5" x14ac:dyDescent="0.35">
      <c r="A341" s="71" t="str">
        <f>IF(TRIM(E341)&lt;&gt;"",COUNTA(E$11:$E341)&amp;"","")</f>
        <v>190</v>
      </c>
      <c r="B341" s="34"/>
      <c r="C341" s="56" t="s">
        <v>426</v>
      </c>
      <c r="D341" s="73">
        <v>11.14</v>
      </c>
      <c r="E341" s="74" t="s">
        <v>154</v>
      </c>
    </row>
    <row r="342" spans="1:5" x14ac:dyDescent="0.35">
      <c r="A342" s="71" t="str">
        <f>IF(TRIM(E342)&lt;&gt;"",COUNTA(E$11:$E342)&amp;"","")</f>
        <v>191</v>
      </c>
      <c r="B342" s="34"/>
      <c r="C342" s="56" t="s">
        <v>427</v>
      </c>
      <c r="D342" s="73">
        <v>42.35</v>
      </c>
      <c r="E342" s="74" t="s">
        <v>154</v>
      </c>
    </row>
    <row r="343" spans="1:5" x14ac:dyDescent="0.35">
      <c r="A343" s="71" t="str">
        <f>IF(TRIM(E343)&lt;&gt;"",COUNTA(E$11:$E343)&amp;"","")</f>
        <v>192</v>
      </c>
      <c r="B343" s="34"/>
      <c r="C343" s="56" t="s">
        <v>428</v>
      </c>
      <c r="D343" s="73">
        <f>41.38*(5)</f>
        <v>206.9</v>
      </c>
      <c r="E343" s="74" t="s">
        <v>154</v>
      </c>
    </row>
    <row r="344" spans="1:5" x14ac:dyDescent="0.35">
      <c r="A344" s="71" t="str">
        <f>IF(TRIM(E344)&lt;&gt;"",COUNTA(E$11:$E344)&amp;"","")</f>
        <v/>
      </c>
      <c r="B344" s="34"/>
      <c r="C344" s="259" t="s">
        <v>429</v>
      </c>
      <c r="D344" s="73"/>
      <c r="E344" s="74"/>
    </row>
    <row r="345" spans="1:5" x14ac:dyDescent="0.35">
      <c r="A345" s="71" t="str">
        <f>IF(TRIM(E345)&lt;&gt;"",COUNTA(E$11:$E345)&amp;"","")</f>
        <v>193</v>
      </c>
      <c r="B345" s="34"/>
      <c r="C345" s="56" t="s">
        <v>430</v>
      </c>
      <c r="D345" s="73">
        <f>63.07+492</f>
        <v>555.07000000000005</v>
      </c>
      <c r="E345" s="74" t="s">
        <v>154</v>
      </c>
    </row>
    <row r="346" spans="1:5" x14ac:dyDescent="0.35">
      <c r="A346" s="71" t="str">
        <f>IF(TRIM(E346)&lt;&gt;"",COUNTA(E$11:$E346)&amp;"","")</f>
        <v>194</v>
      </c>
      <c r="B346" s="34"/>
      <c r="C346" s="56" t="s">
        <v>431</v>
      </c>
      <c r="D346" s="73">
        <f>28.1*(5)</f>
        <v>140.5</v>
      </c>
      <c r="E346" s="74" t="s">
        <v>154</v>
      </c>
    </row>
    <row r="347" spans="1:5" x14ac:dyDescent="0.35">
      <c r="A347" s="71" t="str">
        <f>IF(TRIM(E347)&lt;&gt;"",COUNTA(E$11:$E347)&amp;"","")</f>
        <v/>
      </c>
      <c r="B347" s="34"/>
      <c r="C347" s="259" t="s">
        <v>432</v>
      </c>
      <c r="D347" s="73"/>
      <c r="E347" s="74"/>
    </row>
    <row r="348" spans="1:5" x14ac:dyDescent="0.35">
      <c r="A348" s="71" t="str">
        <f>IF(TRIM(E348)&lt;&gt;"",COUNTA(E$11:$E348)&amp;"","")</f>
        <v>195</v>
      </c>
      <c r="B348" s="34"/>
      <c r="C348" s="56" t="s">
        <v>433</v>
      </c>
      <c r="D348" s="73">
        <f>60.31+375</f>
        <v>435.31</v>
      </c>
      <c r="E348" s="74" t="s">
        <v>154</v>
      </c>
    </row>
    <row r="349" spans="1:5" ht="19.25" customHeight="1" x14ac:dyDescent="0.35">
      <c r="A349" s="71" t="str">
        <f>IF(TRIM(E349)&lt;&gt;"",COUNTA(E$11:$E349)&amp;"","")</f>
        <v/>
      </c>
      <c r="B349" s="34"/>
      <c r="C349" s="247" t="s">
        <v>434</v>
      </c>
      <c r="D349" s="246"/>
      <c r="E349" s="74"/>
    </row>
    <row r="350" spans="1:5" ht="21.5" customHeight="1" x14ac:dyDescent="0.35">
      <c r="A350" s="71" t="str">
        <f>IF(TRIM(E350)&lt;&gt;"",COUNTA(E$11:$E350)&amp;"","")</f>
        <v/>
      </c>
      <c r="B350" s="34"/>
      <c r="C350" s="263" t="s">
        <v>435</v>
      </c>
      <c r="D350" s="246"/>
      <c r="E350" s="74"/>
    </row>
    <row r="351" spans="1:5" x14ac:dyDescent="0.35">
      <c r="A351" s="71" t="str">
        <f>IF(TRIM(E351)&lt;&gt;"",COUNTA(E$11:$E351)&amp;"","")</f>
        <v>196</v>
      </c>
      <c r="B351" s="34"/>
      <c r="C351" s="56" t="s">
        <v>424</v>
      </c>
      <c r="D351" s="73">
        <f>207.92+549</f>
        <v>756.92</v>
      </c>
      <c r="E351" s="74" t="s">
        <v>154</v>
      </c>
    </row>
    <row r="352" spans="1:5" x14ac:dyDescent="0.35">
      <c r="A352" s="71" t="str">
        <f>IF(TRIM(E352)&lt;&gt;"",COUNTA(E$11:$E352)&amp;"","")</f>
        <v>197</v>
      </c>
      <c r="B352" s="34"/>
      <c r="C352" s="56" t="s">
        <v>425</v>
      </c>
      <c r="D352" s="73">
        <v>43.03</v>
      </c>
      <c r="E352" s="74" t="s">
        <v>154</v>
      </c>
    </row>
    <row r="353" spans="1:5" x14ac:dyDescent="0.35">
      <c r="A353" s="71" t="str">
        <f>IF(TRIM(E353)&lt;&gt;"",COUNTA(E$11:$E353)&amp;"","")</f>
        <v>198</v>
      </c>
      <c r="B353" s="34"/>
      <c r="C353" s="56" t="s">
        <v>426</v>
      </c>
      <c r="D353" s="73">
        <v>11.14</v>
      </c>
      <c r="E353" s="74" t="s">
        <v>154</v>
      </c>
    </row>
    <row r="354" spans="1:5" x14ac:dyDescent="0.35">
      <c r="A354" s="71" t="str">
        <f>IF(TRIM(E354)&lt;&gt;"",COUNTA(E$11:$E354)&amp;"","")</f>
        <v>199</v>
      </c>
      <c r="B354" s="34"/>
      <c r="C354" s="56" t="s">
        <v>427</v>
      </c>
      <c r="D354" s="73">
        <v>42.35</v>
      </c>
      <c r="E354" s="74" t="s">
        <v>154</v>
      </c>
    </row>
    <row r="355" spans="1:5" x14ac:dyDescent="0.35">
      <c r="A355" s="71" t="str">
        <f>IF(TRIM(E355)&lt;&gt;"",COUNTA(E$11:$E355)&amp;"","")</f>
        <v>200</v>
      </c>
      <c r="B355" s="34"/>
      <c r="C355" s="56" t="s">
        <v>428</v>
      </c>
      <c r="D355" s="73">
        <f>41.38*(5)</f>
        <v>206.9</v>
      </c>
      <c r="E355" s="74" t="s">
        <v>154</v>
      </c>
    </row>
    <row r="356" spans="1:5" x14ac:dyDescent="0.35">
      <c r="A356" s="71" t="str">
        <f>IF(TRIM(E356)&lt;&gt;"",COUNTA(E$11:$E356)&amp;"","")</f>
        <v>201</v>
      </c>
      <c r="B356" s="34"/>
      <c r="C356" s="56" t="s">
        <v>431</v>
      </c>
      <c r="D356" s="73">
        <f>28.1*(5)</f>
        <v>140.5</v>
      </c>
      <c r="E356" s="74" t="s">
        <v>154</v>
      </c>
    </row>
    <row r="357" spans="1:5" x14ac:dyDescent="0.35">
      <c r="A357" s="71" t="str">
        <f>IF(TRIM(E357)&lt;&gt;"",COUNTA(E$11:$E357)&amp;"","")</f>
        <v>202</v>
      </c>
      <c r="B357" s="34"/>
      <c r="C357" s="56" t="s">
        <v>433</v>
      </c>
      <c r="D357" s="73">
        <f>60.31+375</f>
        <v>435.31</v>
      </c>
      <c r="E357" s="74" t="s">
        <v>154</v>
      </c>
    </row>
    <row r="358" spans="1:5" ht="21.5" customHeight="1" x14ac:dyDescent="0.35">
      <c r="A358" s="71" t="str">
        <f>IF(TRIM(E358)&lt;&gt;"",COUNTA(E$11:$E358)&amp;"","")</f>
        <v/>
      </c>
      <c r="B358" s="34"/>
      <c r="C358" s="263" t="s">
        <v>436</v>
      </c>
      <c r="D358" s="246"/>
      <c r="E358" s="74"/>
    </row>
    <row r="359" spans="1:5" x14ac:dyDescent="0.35">
      <c r="A359" s="71" t="str">
        <f>IF(TRIM(E359)&lt;&gt;"",COUNTA(E$11:$E359)&amp;"","")</f>
        <v>203</v>
      </c>
      <c r="B359" s="34"/>
      <c r="C359" s="56" t="s">
        <v>430</v>
      </c>
      <c r="D359" s="73">
        <f>63.07+492</f>
        <v>555.07000000000005</v>
      </c>
      <c r="E359" s="74" t="s">
        <v>154</v>
      </c>
    </row>
    <row r="360" spans="1:5" x14ac:dyDescent="0.35">
      <c r="A360" s="71" t="str">
        <f>IF(TRIM(E360)&lt;&gt;"",COUNTA(E$11:$E360)&amp;"","")</f>
        <v/>
      </c>
      <c r="B360" s="34"/>
      <c r="C360" s="247" t="s">
        <v>437</v>
      </c>
      <c r="D360" s="73"/>
      <c r="E360" s="74"/>
    </row>
    <row r="361" spans="1:5" ht="43.5" x14ac:dyDescent="0.35">
      <c r="A361" s="71" t="str">
        <f>IF(TRIM(E361)&lt;&gt;"",COUNTA(E$11:$E361)&amp;"","")</f>
        <v>204</v>
      </c>
      <c r="B361" s="34"/>
      <c r="C361" s="56" t="s">
        <v>438</v>
      </c>
      <c r="D361" s="73">
        <v>6</v>
      </c>
      <c r="E361" s="74" t="s">
        <v>192</v>
      </c>
    </row>
    <row r="362" spans="1:5" x14ac:dyDescent="0.35">
      <c r="A362" s="71" t="str">
        <f>IF(TRIM(E362)&lt;&gt;"",COUNTA(E$11:$E362)&amp;"","")</f>
        <v/>
      </c>
      <c r="B362" s="34"/>
      <c r="C362" s="265" t="s">
        <v>439</v>
      </c>
      <c r="D362" s="73"/>
      <c r="E362" s="74"/>
    </row>
    <row r="363" spans="1:5" ht="43.5" x14ac:dyDescent="0.35">
      <c r="A363" s="71" t="str">
        <f>IF(TRIM(E363)&lt;&gt;"",COUNTA(E$11:$E363)&amp;"","")</f>
        <v>205</v>
      </c>
      <c r="B363" s="34"/>
      <c r="C363" s="56" t="s">
        <v>440</v>
      </c>
      <c r="D363" s="73">
        <v>2</v>
      </c>
      <c r="E363" s="74" t="s">
        <v>192</v>
      </c>
    </row>
    <row r="364" spans="1:5" ht="43.5" x14ac:dyDescent="0.35">
      <c r="A364" s="71" t="str">
        <f>IF(TRIM(E364)&lt;&gt;"",COUNTA(E$11:$E364)&amp;"","")</f>
        <v>206</v>
      </c>
      <c r="B364" s="34"/>
      <c r="C364" s="56" t="s">
        <v>441</v>
      </c>
      <c r="D364" s="73">
        <v>6</v>
      </c>
      <c r="E364" s="74" t="s">
        <v>192</v>
      </c>
    </row>
    <row r="365" spans="1:5" x14ac:dyDescent="0.35">
      <c r="A365" s="71" t="str">
        <f>IF(TRIM(E365)&lt;&gt;"",COUNTA(E$11:$E365)&amp;"","")</f>
        <v/>
      </c>
      <c r="B365" s="34"/>
      <c r="C365" s="247" t="s">
        <v>195</v>
      </c>
      <c r="D365" s="73"/>
      <c r="E365" s="74"/>
    </row>
    <row r="366" spans="1:5" ht="43.5" x14ac:dyDescent="0.35">
      <c r="A366" s="71" t="str">
        <f>IF(TRIM(E366)&lt;&gt;"",COUNTA(E$11:$E366)&amp;"","")</f>
        <v>207</v>
      </c>
      <c r="B366" s="34"/>
      <c r="C366" s="56" t="s">
        <v>442</v>
      </c>
      <c r="D366" s="73">
        <v>6</v>
      </c>
      <c r="E366" s="74" t="s">
        <v>192</v>
      </c>
    </row>
    <row r="367" spans="1:5" x14ac:dyDescent="0.35">
      <c r="A367" s="71" t="str">
        <f>IF(TRIM(E367)&lt;&gt;"",COUNTA(E$11:$E367)&amp;"","")</f>
        <v>208</v>
      </c>
      <c r="B367" s="34"/>
      <c r="C367" s="56" t="s">
        <v>637</v>
      </c>
      <c r="D367" s="73">
        <f>3*(5)</f>
        <v>15</v>
      </c>
      <c r="E367" s="74" t="s">
        <v>192</v>
      </c>
    </row>
    <row r="368" spans="1:5" x14ac:dyDescent="0.35">
      <c r="A368" s="71" t="str">
        <f>IF(TRIM(E368)&lt;&gt;"",COUNTA(E$11:$E368)&amp;"","")</f>
        <v>209</v>
      </c>
      <c r="B368" s="34"/>
      <c r="C368" s="56" t="s">
        <v>443</v>
      </c>
      <c r="D368" s="73">
        <f>3*(5)</f>
        <v>15</v>
      </c>
      <c r="E368" s="74" t="s">
        <v>192</v>
      </c>
    </row>
    <row r="369" spans="1:5" x14ac:dyDescent="0.35">
      <c r="A369" s="71" t="str">
        <f>IF(TRIM(E369)&lt;&gt;"",COUNTA(E$11:$E369)&amp;"","")</f>
        <v>210</v>
      </c>
      <c r="B369" s="34"/>
      <c r="C369" s="56" t="s">
        <v>444</v>
      </c>
      <c r="D369" s="73">
        <f>1*(5)</f>
        <v>5</v>
      </c>
      <c r="E369" s="74" t="s">
        <v>192</v>
      </c>
    </row>
    <row r="370" spans="1:5" x14ac:dyDescent="0.35">
      <c r="A370" s="71" t="str">
        <f>IF(TRIM(E370)&lt;&gt;"",COUNTA(E$11:$E370)&amp;"","")</f>
        <v>211</v>
      </c>
      <c r="B370" s="34"/>
      <c r="C370" s="56" t="s">
        <v>445</v>
      </c>
      <c r="D370" s="73">
        <f>1*(5)</f>
        <v>5</v>
      </c>
      <c r="E370" s="74" t="s">
        <v>192</v>
      </c>
    </row>
    <row r="371" spans="1:5" x14ac:dyDescent="0.35">
      <c r="A371" s="71" t="str">
        <f>IF(TRIM(E371)&lt;&gt;"",COUNTA(E$11:$E371)&amp;"","")</f>
        <v>212</v>
      </c>
      <c r="B371" s="34"/>
      <c r="C371" s="56" t="s">
        <v>446</v>
      </c>
      <c r="D371" s="73">
        <f>1*(5)</f>
        <v>5</v>
      </c>
      <c r="E371" s="74" t="s">
        <v>192</v>
      </c>
    </row>
    <row r="372" spans="1:5" x14ac:dyDescent="0.35">
      <c r="A372" s="71" t="str">
        <f>IF(TRIM(E372)&lt;&gt;"",COUNTA(E$11:$E372)&amp;"","")</f>
        <v>213</v>
      </c>
      <c r="B372" s="34"/>
      <c r="C372" s="56" t="s">
        <v>447</v>
      </c>
      <c r="D372" s="73">
        <f>1*(5)</f>
        <v>5</v>
      </c>
      <c r="E372" s="74" t="s">
        <v>192</v>
      </c>
    </row>
    <row r="373" spans="1:5" x14ac:dyDescent="0.35">
      <c r="A373" s="71" t="str">
        <f>IF(TRIM(E373)&lt;&gt;"",COUNTA(E$11:$E373)&amp;"","")</f>
        <v>214</v>
      </c>
      <c r="B373" s="34"/>
      <c r="C373" s="56" t="s">
        <v>448</v>
      </c>
      <c r="D373" s="73">
        <f>1*(5)</f>
        <v>5</v>
      </c>
      <c r="E373" s="74" t="s">
        <v>192</v>
      </c>
    </row>
    <row r="374" spans="1:5" x14ac:dyDescent="0.35">
      <c r="A374" s="71" t="str">
        <f>IF(TRIM(E374)&lt;&gt;"",COUNTA(E$11:$E374)&amp;"","")</f>
        <v/>
      </c>
      <c r="B374" s="34"/>
      <c r="C374" s="265" t="s">
        <v>449</v>
      </c>
      <c r="D374" s="73"/>
      <c r="E374" s="74"/>
    </row>
    <row r="375" spans="1:5" ht="130.5" x14ac:dyDescent="0.35">
      <c r="A375" s="71" t="str">
        <f>IF(TRIM(E375)&lt;&gt;"",COUNTA(E$11:$E375)&amp;"","")</f>
        <v>215</v>
      </c>
      <c r="B375" s="34"/>
      <c r="C375" s="56" t="s">
        <v>450</v>
      </c>
      <c r="D375" s="73">
        <v>1</v>
      </c>
      <c r="E375" s="74" t="s">
        <v>192</v>
      </c>
    </row>
    <row r="376" spans="1:5" x14ac:dyDescent="0.35">
      <c r="A376" s="71" t="str">
        <f>IF(TRIM(E376)&lt;&gt;"",COUNTA(E$11:$E376)&amp;"","")</f>
        <v/>
      </c>
      <c r="B376" s="34"/>
      <c r="C376" s="265" t="s">
        <v>451</v>
      </c>
      <c r="D376" s="73"/>
      <c r="E376" s="74"/>
    </row>
    <row r="377" spans="1:5" ht="58" x14ac:dyDescent="0.35">
      <c r="A377" s="71" t="str">
        <f>IF(TRIM(E377)&lt;&gt;"",COUNTA(E$11:$E377)&amp;"","")</f>
        <v>216</v>
      </c>
      <c r="B377" s="34"/>
      <c r="C377" s="56" t="s">
        <v>452</v>
      </c>
      <c r="D377" s="73">
        <v>5</v>
      </c>
      <c r="E377" s="74" t="s">
        <v>192</v>
      </c>
    </row>
    <row r="378" spans="1:5" ht="72.5" x14ac:dyDescent="0.35">
      <c r="A378" s="71" t="str">
        <f>IF(TRIM(E378)&lt;&gt;"",COUNTA(E$11:$E378)&amp;"","")</f>
        <v>217</v>
      </c>
      <c r="B378" s="34"/>
      <c r="C378" s="56" t="s">
        <v>453</v>
      </c>
      <c r="D378" s="73">
        <v>5</v>
      </c>
      <c r="E378" s="74" t="s">
        <v>192</v>
      </c>
    </row>
    <row r="379" spans="1:5" x14ac:dyDescent="0.35">
      <c r="A379" s="71" t="str">
        <f>IF(TRIM(E379)&lt;&gt;"",COUNTA(E$11:$E379)&amp;"","")</f>
        <v/>
      </c>
      <c r="B379" s="34"/>
      <c r="C379" s="265" t="s">
        <v>390</v>
      </c>
      <c r="D379" s="73"/>
      <c r="E379" s="74"/>
    </row>
    <row r="380" spans="1:5" x14ac:dyDescent="0.35">
      <c r="A380" s="71" t="str">
        <f>IF(TRIM(E380)&lt;&gt;"",COUNTA(E$11:$E380)&amp;"","")</f>
        <v>218</v>
      </c>
      <c r="B380" s="34"/>
      <c r="C380" s="56" t="s">
        <v>454</v>
      </c>
      <c r="D380" s="73">
        <f>25+85</f>
        <v>110</v>
      </c>
      <c r="E380" s="74" t="s">
        <v>192</v>
      </c>
    </row>
    <row r="381" spans="1:5" x14ac:dyDescent="0.35">
      <c r="A381" s="71" t="str">
        <f>IF(TRIM(E381)&lt;&gt;"",COUNTA(E$11:$E381)&amp;"","")</f>
        <v>219</v>
      </c>
      <c r="B381" s="34"/>
      <c r="C381" s="56" t="s">
        <v>455</v>
      </c>
      <c r="D381" s="73">
        <v>5</v>
      </c>
      <c r="E381" s="74" t="s">
        <v>192</v>
      </c>
    </row>
    <row r="382" spans="1:5" x14ac:dyDescent="0.35">
      <c r="A382" s="71" t="str">
        <f>IF(TRIM(E382)&lt;&gt;"",COUNTA(E$11:$E382)&amp;"","")</f>
        <v/>
      </c>
      <c r="B382" s="34"/>
      <c r="C382" s="265" t="s">
        <v>456</v>
      </c>
      <c r="D382" s="73"/>
      <c r="E382" s="74"/>
    </row>
    <row r="383" spans="1:5" x14ac:dyDescent="0.35">
      <c r="A383" s="71" t="str">
        <f>IF(TRIM(E383)&lt;&gt;"",COUNTA(E$11:$E383)&amp;"","")</f>
        <v/>
      </c>
      <c r="B383" s="34"/>
      <c r="C383" s="259" t="s">
        <v>457</v>
      </c>
      <c r="D383" s="73"/>
      <c r="E383" s="74"/>
    </row>
    <row r="384" spans="1:5" x14ac:dyDescent="0.35">
      <c r="A384" s="71" t="str">
        <f>IF(TRIM(E384)&lt;&gt;"",COUNTA(E$11:$E384)&amp;"","")</f>
        <v>220</v>
      </c>
      <c r="B384" s="34"/>
      <c r="C384" s="56" t="s">
        <v>458</v>
      </c>
      <c r="D384" s="73">
        <v>14</v>
      </c>
      <c r="E384" s="74" t="s">
        <v>192</v>
      </c>
    </row>
    <row r="385" spans="1:5" x14ac:dyDescent="0.35">
      <c r="A385" s="71" t="str">
        <f>IF(TRIM(E385)&lt;&gt;"",COUNTA(E$11:$E385)&amp;"","")</f>
        <v>221</v>
      </c>
      <c r="B385" s="34"/>
      <c r="C385" s="56" t="s">
        <v>459</v>
      </c>
      <c r="D385" s="73">
        <v>5</v>
      </c>
      <c r="E385" s="74" t="s">
        <v>192</v>
      </c>
    </row>
    <row r="386" spans="1:5" x14ac:dyDescent="0.35">
      <c r="A386" s="71" t="str">
        <f>IF(TRIM(E386)&lt;&gt;"",COUNTA(E$11:$E386)&amp;"","")</f>
        <v>222</v>
      </c>
      <c r="B386" s="34"/>
      <c r="C386" s="56" t="s">
        <v>638</v>
      </c>
      <c r="D386" s="73">
        <v>17</v>
      </c>
      <c r="E386" s="74" t="s">
        <v>192</v>
      </c>
    </row>
    <row r="387" spans="1:5" x14ac:dyDescent="0.35">
      <c r="A387" s="71" t="str">
        <f>IF(TRIM(E387)&lt;&gt;"",COUNTA(E$11:$E387)&amp;"","")</f>
        <v>223</v>
      </c>
      <c r="B387" s="34"/>
      <c r="C387" s="56" t="s">
        <v>460</v>
      </c>
      <c r="D387" s="73">
        <v>6</v>
      </c>
      <c r="E387" s="74" t="s">
        <v>192</v>
      </c>
    </row>
    <row r="388" spans="1:5" x14ac:dyDescent="0.35">
      <c r="A388" s="71" t="str">
        <f>IF(TRIM(E388)&lt;&gt;"",COUNTA(E$11:$E388)&amp;"","")</f>
        <v/>
      </c>
      <c r="B388" s="34"/>
      <c r="C388" s="259" t="s">
        <v>461</v>
      </c>
      <c r="D388" s="73"/>
      <c r="E388" s="74"/>
    </row>
    <row r="389" spans="1:5" x14ac:dyDescent="0.35">
      <c r="A389" s="71" t="str">
        <f>IF(TRIM(E389)&lt;&gt;"",COUNTA(E$11:$E389)&amp;"","")</f>
        <v>224</v>
      </c>
      <c r="B389" s="34"/>
      <c r="C389" s="56" t="s">
        <v>459</v>
      </c>
      <c r="D389" s="73">
        <f>2*(5)+5</f>
        <v>15</v>
      </c>
      <c r="E389" s="74" t="s">
        <v>192</v>
      </c>
    </row>
    <row r="390" spans="1:5" x14ac:dyDescent="0.35">
      <c r="A390" s="71" t="str">
        <f>IF(TRIM(E390)&lt;&gt;"",COUNTA(E$11:$E390)&amp;"","")</f>
        <v/>
      </c>
      <c r="B390" s="34"/>
      <c r="C390" s="259" t="s">
        <v>462</v>
      </c>
      <c r="D390" s="73"/>
      <c r="E390" s="74"/>
    </row>
    <row r="391" spans="1:5" x14ac:dyDescent="0.35">
      <c r="A391" s="71" t="str">
        <f>IF(TRIM(E391)&lt;&gt;"",COUNTA(E$11:$E391)&amp;"","")</f>
        <v>225</v>
      </c>
      <c r="B391" s="34"/>
      <c r="C391" s="56" t="s">
        <v>463</v>
      </c>
      <c r="D391" s="73">
        <v>9</v>
      </c>
      <c r="E391" s="74" t="s">
        <v>192</v>
      </c>
    </row>
    <row r="392" spans="1:5" x14ac:dyDescent="0.35">
      <c r="A392" s="71" t="str">
        <f>IF(TRIM(E392)&lt;&gt;"",COUNTA(E$11:$E392)&amp;"","")</f>
        <v>226</v>
      </c>
      <c r="B392" s="34"/>
      <c r="C392" s="56" t="s">
        <v>464</v>
      </c>
      <c r="D392" s="73">
        <v>5</v>
      </c>
      <c r="E392" s="74" t="s">
        <v>192</v>
      </c>
    </row>
    <row r="393" spans="1:5" x14ac:dyDescent="0.35">
      <c r="A393" s="71" t="str">
        <f>IF(TRIM(E393)&lt;&gt;"",COUNTA(E$11:$E393)&amp;"","")</f>
        <v>227</v>
      </c>
      <c r="B393" s="34"/>
      <c r="C393" s="56" t="s">
        <v>465</v>
      </c>
      <c r="D393" s="73">
        <f>1*(5)</f>
        <v>5</v>
      </c>
      <c r="E393" s="74" t="s">
        <v>192</v>
      </c>
    </row>
    <row r="394" spans="1:5" x14ac:dyDescent="0.35">
      <c r="A394" s="71" t="str">
        <f>IF(TRIM(E394)&lt;&gt;"",COUNTA(E$11:$E394)&amp;"","")</f>
        <v>228</v>
      </c>
      <c r="B394" s="34"/>
      <c r="C394" s="56" t="s">
        <v>460</v>
      </c>
      <c r="D394" s="73">
        <f>1*(5)</f>
        <v>5</v>
      </c>
      <c r="E394" s="74" t="s">
        <v>192</v>
      </c>
    </row>
    <row r="395" spans="1:5" x14ac:dyDescent="0.35">
      <c r="A395" s="71" t="str">
        <f>IF(TRIM(E395)&lt;&gt;"",COUNTA(E$11:$E395)&amp;"","")</f>
        <v/>
      </c>
      <c r="B395" s="34"/>
      <c r="C395" s="259" t="s">
        <v>466</v>
      </c>
      <c r="D395" s="73"/>
      <c r="E395" s="74"/>
    </row>
    <row r="396" spans="1:5" x14ac:dyDescent="0.35">
      <c r="A396" s="71" t="str">
        <f>IF(TRIM(E396)&lt;&gt;"",COUNTA(E$11:$E396)&amp;"","")</f>
        <v>229</v>
      </c>
      <c r="B396" s="34"/>
      <c r="C396" s="56" t="s">
        <v>467</v>
      </c>
      <c r="D396" s="73">
        <v>62</v>
      </c>
      <c r="E396" s="74" t="s">
        <v>192</v>
      </c>
    </row>
    <row r="397" spans="1:5" x14ac:dyDescent="0.35">
      <c r="A397" s="71" t="str">
        <f>IF(TRIM(E397)&lt;&gt;"",COUNTA(E$11:$E397)&amp;"","")</f>
        <v>230</v>
      </c>
      <c r="B397" s="34"/>
      <c r="C397" s="56" t="s">
        <v>395</v>
      </c>
      <c r="D397" s="73">
        <v>5</v>
      </c>
      <c r="E397" s="74" t="s">
        <v>192</v>
      </c>
    </row>
    <row r="398" spans="1:5" x14ac:dyDescent="0.35">
      <c r="A398" s="71" t="str">
        <f>IF(TRIM(E398)&lt;&gt;"",COUNTA(E$11:$E398)&amp;"","")</f>
        <v>231</v>
      </c>
      <c r="B398" s="34"/>
      <c r="C398" s="56" t="s">
        <v>468</v>
      </c>
      <c r="D398" s="73">
        <v>9</v>
      </c>
      <c r="E398" s="74" t="s">
        <v>192</v>
      </c>
    </row>
    <row r="399" spans="1:5" x14ac:dyDescent="0.35">
      <c r="A399" s="71" t="str">
        <f>IF(TRIM(E399)&lt;&gt;"",COUNTA(E$11:$E399)&amp;"","")</f>
        <v>232</v>
      </c>
      <c r="B399" s="34"/>
      <c r="C399" s="56" t="s">
        <v>469</v>
      </c>
      <c r="D399" s="73">
        <f>10*(5)</f>
        <v>50</v>
      </c>
      <c r="E399" s="74" t="s">
        <v>192</v>
      </c>
    </row>
    <row r="400" spans="1:5" x14ac:dyDescent="0.35">
      <c r="A400" s="71" t="str">
        <f>IF(TRIM(E400)&lt;&gt;"",COUNTA(E$11:$E400)&amp;"","")</f>
        <v>233</v>
      </c>
      <c r="B400" s="34"/>
      <c r="C400" s="56" t="s">
        <v>470</v>
      </c>
      <c r="D400" s="73">
        <v>1</v>
      </c>
      <c r="E400" s="74" t="s">
        <v>192</v>
      </c>
    </row>
    <row r="401" spans="1:5" x14ac:dyDescent="0.35">
      <c r="A401" s="71" t="str">
        <f>IF(TRIM(E401)&lt;&gt;"",COUNTA(E$11:$E401)&amp;"","")</f>
        <v>234</v>
      </c>
      <c r="B401" s="34"/>
      <c r="C401" s="56" t="s">
        <v>471</v>
      </c>
      <c r="D401" s="73">
        <v>1</v>
      </c>
      <c r="E401" s="74" t="s">
        <v>192</v>
      </c>
    </row>
    <row r="402" spans="1:5" x14ac:dyDescent="0.35">
      <c r="A402" s="71" t="str">
        <f>IF(TRIM(E402)&lt;&gt;"",COUNTA(E$11:$E402)&amp;"","")</f>
        <v>235</v>
      </c>
      <c r="B402" s="34"/>
      <c r="C402" s="56" t="s">
        <v>472</v>
      </c>
      <c r="D402" s="73">
        <v>1</v>
      </c>
      <c r="E402" s="74" t="s">
        <v>192</v>
      </c>
    </row>
    <row r="403" spans="1:5" x14ac:dyDescent="0.35">
      <c r="A403" s="71" t="str">
        <f>IF(TRIM(E403)&lt;&gt;"",COUNTA(E$11:$E403)&amp;"","")</f>
        <v>236</v>
      </c>
      <c r="B403" s="34"/>
      <c r="C403" s="56" t="s">
        <v>473</v>
      </c>
      <c r="D403" s="73">
        <f>8*(5)</f>
        <v>40</v>
      </c>
      <c r="E403" s="74" t="s">
        <v>192</v>
      </c>
    </row>
    <row r="404" spans="1:5" x14ac:dyDescent="0.35">
      <c r="A404" s="71" t="str">
        <f>IF(TRIM(E404)&lt;&gt;"",COUNTA(E$11:$E404)&amp;"","")</f>
        <v/>
      </c>
      <c r="B404" s="34"/>
      <c r="C404" s="259" t="s">
        <v>474</v>
      </c>
      <c r="D404" s="73"/>
      <c r="E404" s="74"/>
    </row>
    <row r="405" spans="1:5" x14ac:dyDescent="0.35">
      <c r="A405" s="71" t="str">
        <f>IF(TRIM(E405)&lt;&gt;"",COUNTA(E$11:$E405)&amp;"","")</f>
        <v>237</v>
      </c>
      <c r="B405" s="34"/>
      <c r="C405" s="56" t="s">
        <v>467</v>
      </c>
      <c r="D405" s="73">
        <v>43</v>
      </c>
      <c r="E405" s="74" t="s">
        <v>192</v>
      </c>
    </row>
    <row r="406" spans="1:5" x14ac:dyDescent="0.35">
      <c r="A406" s="71" t="str">
        <f>IF(TRIM(E406)&lt;&gt;"",COUNTA(E$11:$E406)&amp;"","")</f>
        <v>238</v>
      </c>
      <c r="B406" s="34"/>
      <c r="C406" s="56" t="s">
        <v>469</v>
      </c>
      <c r="D406" s="73">
        <f>10*(5)</f>
        <v>50</v>
      </c>
      <c r="E406" s="74" t="s">
        <v>192</v>
      </c>
    </row>
    <row r="407" spans="1:5" x14ac:dyDescent="0.35">
      <c r="A407" s="71" t="str">
        <f>IF(TRIM(E407)&lt;&gt;"",COUNTA(E$11:$E407)&amp;"","")</f>
        <v>239</v>
      </c>
      <c r="B407" s="34"/>
      <c r="C407" s="56" t="s">
        <v>473</v>
      </c>
      <c r="D407" s="73">
        <f>7*(5)</f>
        <v>35</v>
      </c>
      <c r="E407" s="74" t="s">
        <v>192</v>
      </c>
    </row>
    <row r="408" spans="1:5" x14ac:dyDescent="0.35">
      <c r="A408" s="71" t="str">
        <f>IF(TRIM(E408)&lt;&gt;"",COUNTA(E$11:$E408)&amp;"","")</f>
        <v/>
      </c>
      <c r="B408" s="34"/>
      <c r="C408" s="259" t="s">
        <v>475</v>
      </c>
      <c r="D408" s="73"/>
      <c r="E408" s="74"/>
    </row>
    <row r="409" spans="1:5" x14ac:dyDescent="0.35">
      <c r="A409" s="71" t="str">
        <f>IF(TRIM(E409)&lt;&gt;"",COUNTA(E$11:$E409)&amp;"","")</f>
        <v>240</v>
      </c>
      <c r="B409" s="34"/>
      <c r="C409" s="56" t="s">
        <v>476</v>
      </c>
      <c r="D409" s="73">
        <v>63</v>
      </c>
      <c r="E409" s="74" t="s">
        <v>192</v>
      </c>
    </row>
    <row r="410" spans="1:5" x14ac:dyDescent="0.35">
      <c r="A410" s="71" t="str">
        <f>IF(TRIM(E410)&lt;&gt;"",COUNTA(E$11:$E410)&amp;"","")</f>
        <v>241</v>
      </c>
      <c r="B410" s="34"/>
      <c r="C410" s="56" t="s">
        <v>477</v>
      </c>
      <c r="D410" s="73">
        <f>3*(5)</f>
        <v>15</v>
      </c>
      <c r="E410" s="74" t="s">
        <v>192</v>
      </c>
    </row>
    <row r="411" spans="1:5" ht="19.25" customHeight="1" x14ac:dyDescent="0.35">
      <c r="A411" s="71" t="str">
        <f>IF(TRIM(E411)&lt;&gt;"",COUNTA(E$11:$E411)&amp;"","")</f>
        <v/>
      </c>
      <c r="B411" s="34"/>
      <c r="C411" s="247" t="s">
        <v>400</v>
      </c>
      <c r="D411" s="246"/>
      <c r="E411" s="74"/>
    </row>
    <row r="412" spans="1:5" x14ac:dyDescent="0.35">
      <c r="A412" s="71" t="str">
        <f>IF(TRIM(E412)&lt;&gt;"",COUNTA(E$11:$E412)&amp;"","")</f>
        <v>242</v>
      </c>
      <c r="B412" s="34"/>
      <c r="C412" s="264" t="s">
        <v>401</v>
      </c>
      <c r="D412" s="73">
        <f>1750/6</f>
        <v>291.66666666666669</v>
      </c>
      <c r="E412" s="74" t="s">
        <v>192</v>
      </c>
    </row>
    <row r="413" spans="1:5" x14ac:dyDescent="0.35">
      <c r="A413" s="71" t="str">
        <f>IF(TRIM(E413)&lt;&gt;"",COUNTA(E$11:$E413)&amp;"","")</f>
        <v>243</v>
      </c>
      <c r="B413" s="34"/>
      <c r="C413" s="264" t="s">
        <v>478</v>
      </c>
      <c r="D413" s="73">
        <f>320/6</f>
        <v>53.333333333333336</v>
      </c>
      <c r="E413" s="74" t="s">
        <v>192</v>
      </c>
    </row>
    <row r="414" spans="1:5" x14ac:dyDescent="0.35">
      <c r="A414" s="71" t="str">
        <f>IF(TRIM(E414)&lt;&gt;"",COUNTA(E$11:$E414)&amp;"","")</f>
        <v>244</v>
      </c>
      <c r="B414" s="34"/>
      <c r="C414" s="264" t="s">
        <v>402</v>
      </c>
      <c r="D414" s="73">
        <f>D412+D413</f>
        <v>345</v>
      </c>
      <c r="E414" s="74" t="s">
        <v>192</v>
      </c>
    </row>
    <row r="415" spans="1:5" ht="19.25" customHeight="1" x14ac:dyDescent="0.35">
      <c r="A415" s="71" t="str">
        <f>IF(TRIM(E415)&lt;&gt;"",COUNTA(E$11:$E415)&amp;"","")</f>
        <v/>
      </c>
      <c r="B415" s="34"/>
      <c r="C415" s="247" t="s">
        <v>479</v>
      </c>
      <c r="D415" s="246"/>
      <c r="E415" s="74"/>
    </row>
    <row r="416" spans="1:5" x14ac:dyDescent="0.35">
      <c r="A416" s="71" t="str">
        <f>IF(TRIM(E416)&lt;&gt;"",COUNTA(E$11:$E416)&amp;"","")</f>
        <v>245</v>
      </c>
      <c r="B416" s="34"/>
      <c r="C416" s="56" t="s">
        <v>480</v>
      </c>
      <c r="D416" s="73">
        <f>165*2*3/27</f>
        <v>36.666666666666664</v>
      </c>
      <c r="E416" s="74" t="s">
        <v>157</v>
      </c>
    </row>
    <row r="417" spans="1:5" x14ac:dyDescent="0.35">
      <c r="A417" s="71" t="str">
        <f>IF(TRIM(E417)&lt;&gt;"",COUNTA(E$11:$E417)&amp;"","")</f>
        <v>246</v>
      </c>
      <c r="B417" s="34"/>
      <c r="C417" s="56" t="s">
        <v>159</v>
      </c>
      <c r="D417" s="73">
        <f>D416-(((3.14/4)*(0.1089)*165)/27)</f>
        <v>36.144249166666661</v>
      </c>
      <c r="E417" s="74" t="s">
        <v>157</v>
      </c>
    </row>
    <row r="418" spans="1:5" s="2" customFormat="1" ht="16" thickBot="1" x14ac:dyDescent="0.4">
      <c r="A418" s="84" t="str">
        <f>IF(TRIM(E418)&lt;&gt;"",COUNTA(E$11:$E418)&amp;"","")</f>
        <v/>
      </c>
      <c r="B418" s="37"/>
      <c r="C418" s="19"/>
      <c r="D418" s="90"/>
      <c r="E418" s="91"/>
    </row>
    <row r="419" spans="1:5" ht="25" customHeight="1" thickBot="1" x14ac:dyDescent="0.4">
      <c r="A419" s="181" t="str">
        <f>IF(TRIM(E419)&lt;&gt;"",COUNTA(E$11:$E419)&amp;"","")</f>
        <v/>
      </c>
      <c r="B419" s="193" t="s">
        <v>136</v>
      </c>
      <c r="C419" s="193" t="s">
        <v>168</v>
      </c>
      <c r="D419" s="194"/>
      <c r="E419" s="184"/>
    </row>
    <row r="420" spans="1:5" ht="19.149999999999999" customHeight="1" x14ac:dyDescent="0.35">
      <c r="A420" s="71" t="str">
        <f>IF(TRIM(E420)&lt;&gt;"",COUNTA(E$11:$E420)&amp;"","")</f>
        <v/>
      </c>
      <c r="B420" s="34"/>
      <c r="C420" s="247" t="s">
        <v>196</v>
      </c>
      <c r="D420" s="246"/>
      <c r="E420" s="74"/>
    </row>
    <row r="421" spans="1:5" x14ac:dyDescent="0.35">
      <c r="A421" s="71" t="str">
        <f>IF(TRIM(E421)&lt;&gt;"",COUNTA(E$11:$E421)&amp;"","")</f>
        <v/>
      </c>
      <c r="B421" s="34"/>
      <c r="C421" s="257" t="s">
        <v>207</v>
      </c>
      <c r="D421" s="73"/>
      <c r="E421" s="74"/>
    </row>
    <row r="422" spans="1:5" x14ac:dyDescent="0.35">
      <c r="A422" s="71" t="str">
        <f>IF(TRIM(E422)&lt;&gt;"",COUNTA(E$11:$E422)&amp;"","")</f>
        <v>247</v>
      </c>
      <c r="B422" s="34"/>
      <c r="C422" s="248" t="s">
        <v>354</v>
      </c>
      <c r="D422" s="73">
        <v>22.85</v>
      </c>
      <c r="E422" s="74" t="s">
        <v>154</v>
      </c>
    </row>
    <row r="423" spans="1:5" x14ac:dyDescent="0.35">
      <c r="A423" s="71" t="str">
        <f>IF(TRIM(E423)&lt;&gt;"",COUNTA(E$11:$E423)&amp;"","")</f>
        <v/>
      </c>
      <c r="B423" s="34"/>
      <c r="C423" s="248"/>
      <c r="D423" s="73"/>
      <c r="E423" s="74"/>
    </row>
    <row r="424" spans="1:5" x14ac:dyDescent="0.35">
      <c r="A424" s="71" t="str">
        <f>IF(TRIM(E424)&lt;&gt;"",COUNTA(E$11:$E424)&amp;"","")</f>
        <v/>
      </c>
      <c r="B424" s="34"/>
      <c r="C424" s="257" t="s">
        <v>379</v>
      </c>
      <c r="D424" s="73"/>
      <c r="E424" s="74"/>
    </row>
    <row r="425" spans="1:5" x14ac:dyDescent="0.35">
      <c r="A425" s="71" t="str">
        <f>IF(TRIM(E425)&lt;&gt;"",COUNTA(E$11:$E425)&amp;"","")</f>
        <v>248</v>
      </c>
      <c r="B425" s="34"/>
      <c r="C425" s="248" t="s">
        <v>639</v>
      </c>
      <c r="D425" s="73">
        <v>76</v>
      </c>
      <c r="E425" s="74" t="s">
        <v>141</v>
      </c>
    </row>
    <row r="426" spans="1:5" x14ac:dyDescent="0.35">
      <c r="A426" s="71" t="str">
        <f>IF(TRIM(E426)&lt;&gt;"",COUNTA(E$11:$E426)&amp;"","")</f>
        <v/>
      </c>
      <c r="B426" s="34"/>
      <c r="C426" s="248"/>
      <c r="D426" s="73"/>
      <c r="E426" s="74"/>
    </row>
    <row r="427" spans="1:5" x14ac:dyDescent="0.35">
      <c r="A427" s="71" t="str">
        <f>IF(TRIM(E427)&lt;&gt;"",COUNTA(E$11:$E427)&amp;"","")</f>
        <v/>
      </c>
      <c r="B427" s="34"/>
      <c r="C427" s="257" t="s">
        <v>206</v>
      </c>
      <c r="D427" s="73"/>
      <c r="E427" s="74"/>
    </row>
    <row r="428" spans="1:5" x14ac:dyDescent="0.35">
      <c r="A428" s="71" t="str">
        <f>IF(TRIM(E428)&lt;&gt;"",COUNTA(E$11:$E428)&amp;"","")</f>
        <v>249</v>
      </c>
      <c r="B428" s="34"/>
      <c r="C428" s="64" t="s">
        <v>355</v>
      </c>
      <c r="D428" s="246">
        <v>24.5</v>
      </c>
      <c r="E428" s="74" t="s">
        <v>154</v>
      </c>
    </row>
    <row r="429" spans="1:5" x14ac:dyDescent="0.35">
      <c r="A429" s="71" t="str">
        <f>IF(TRIM(E429)&lt;&gt;"",COUNTA(E$11:$E429)&amp;"","")</f>
        <v>250</v>
      </c>
      <c r="B429" s="34"/>
      <c r="C429" s="64" t="s">
        <v>356</v>
      </c>
      <c r="D429" s="246">
        <v>57.4</v>
      </c>
      <c r="E429" s="74" t="s">
        <v>154</v>
      </c>
    </row>
    <row r="430" spans="1:5" x14ac:dyDescent="0.35">
      <c r="A430" s="71" t="str">
        <f>IF(TRIM(E430)&lt;&gt;"",COUNTA(E$11:$E430)&amp;"","")</f>
        <v>251</v>
      </c>
      <c r="B430" s="34"/>
      <c r="C430" s="64" t="s">
        <v>357</v>
      </c>
      <c r="D430" s="246">
        <v>51.2</v>
      </c>
      <c r="E430" s="74" t="s">
        <v>154</v>
      </c>
    </row>
    <row r="431" spans="1:5" x14ac:dyDescent="0.35">
      <c r="A431" s="71" t="str">
        <f>IF(TRIM(E431)&lt;&gt;"",COUNTA(E$11:$E431)&amp;"","")</f>
        <v>252</v>
      </c>
      <c r="B431" s="34"/>
      <c r="C431" s="64" t="s">
        <v>640</v>
      </c>
      <c r="D431" s="246">
        <v>3.7</v>
      </c>
      <c r="E431" s="74" t="s">
        <v>154</v>
      </c>
    </row>
    <row r="432" spans="1:5" x14ac:dyDescent="0.35">
      <c r="A432" s="71" t="str">
        <f>IF(TRIM(E432)&lt;&gt;"",COUNTA(E$11:$E432)&amp;"","")</f>
        <v>253</v>
      </c>
      <c r="B432" s="34"/>
      <c r="C432" s="64" t="s">
        <v>641</v>
      </c>
      <c r="D432" s="246">
        <v>35.54</v>
      </c>
      <c r="E432" s="74" t="s">
        <v>154</v>
      </c>
    </row>
    <row r="433" spans="1:5" x14ac:dyDescent="0.35">
      <c r="A433" s="71" t="str">
        <f>IF(TRIM(E433)&lt;&gt;"",COUNTA(E$11:$E433)&amp;"","")</f>
        <v>254</v>
      </c>
      <c r="B433" s="34"/>
      <c r="C433" s="64" t="s">
        <v>358</v>
      </c>
      <c r="D433" s="246">
        <v>141.15</v>
      </c>
      <c r="E433" s="74" t="s">
        <v>154</v>
      </c>
    </row>
    <row r="434" spans="1:5" x14ac:dyDescent="0.35">
      <c r="A434" s="71" t="str">
        <f>IF(TRIM(E434)&lt;&gt;"",COUNTA(E$11:$E434)&amp;"","")</f>
        <v/>
      </c>
      <c r="B434" s="34"/>
      <c r="C434" s="64"/>
      <c r="D434" s="246"/>
      <c r="E434" s="74"/>
    </row>
    <row r="435" spans="1:5" x14ac:dyDescent="0.35">
      <c r="A435" s="71" t="str">
        <f>IF(TRIM(E435)&lt;&gt;"",COUNTA(E$11:$E435)&amp;"","")</f>
        <v/>
      </c>
      <c r="B435" s="34"/>
      <c r="C435" s="257" t="s">
        <v>379</v>
      </c>
      <c r="D435" s="246"/>
      <c r="E435" s="74"/>
    </row>
    <row r="436" spans="1:5" x14ac:dyDescent="0.35">
      <c r="A436" s="71" t="str">
        <f>IF(TRIM(E436)&lt;&gt;"",COUNTA(E$11:$E436)&amp;"","")</f>
        <v>255</v>
      </c>
      <c r="B436" s="34"/>
      <c r="C436" s="248" t="s">
        <v>380</v>
      </c>
      <c r="D436" s="246">
        <v>102.7127</v>
      </c>
      <c r="E436" s="74" t="s">
        <v>141</v>
      </c>
    </row>
    <row r="437" spans="1:5" x14ac:dyDescent="0.35">
      <c r="A437" s="71" t="str">
        <f>IF(TRIM(E437)&lt;&gt;"",COUNTA(E$11:$E437)&amp;"","")</f>
        <v/>
      </c>
      <c r="B437" s="34"/>
      <c r="C437" s="64"/>
      <c r="D437" s="246"/>
      <c r="E437" s="74"/>
    </row>
    <row r="438" spans="1:5" x14ac:dyDescent="0.35">
      <c r="A438" s="71" t="str">
        <f>IF(TRIM(E438)&lt;&gt;"",COUNTA(E$11:$E438)&amp;"","")</f>
        <v/>
      </c>
      <c r="B438" s="34"/>
      <c r="C438" s="257" t="s">
        <v>359</v>
      </c>
      <c r="D438" s="246"/>
      <c r="E438" s="74"/>
    </row>
    <row r="439" spans="1:5" ht="29" x14ac:dyDescent="0.35">
      <c r="A439" s="71" t="str">
        <f>IF(TRIM(E439)&lt;&gt;"",COUNTA(E$11:$E439)&amp;"","")</f>
        <v>256</v>
      </c>
      <c r="B439" s="34"/>
      <c r="C439" s="69" t="s">
        <v>381</v>
      </c>
      <c r="D439" s="246">
        <v>5</v>
      </c>
      <c r="E439" s="74" t="s">
        <v>192</v>
      </c>
    </row>
    <row r="440" spans="1:5" ht="72.5" x14ac:dyDescent="0.35">
      <c r="A440" s="71" t="str">
        <f>IF(TRIM(E440)&lt;&gt;"",COUNTA(E$11:$E440)&amp;"","")</f>
        <v>257</v>
      </c>
      <c r="B440" s="34"/>
      <c r="C440" s="69" t="s">
        <v>656</v>
      </c>
      <c r="D440" s="246">
        <v>15</v>
      </c>
      <c r="E440" s="74" t="s">
        <v>192</v>
      </c>
    </row>
    <row r="441" spans="1:5" ht="72.5" x14ac:dyDescent="0.35">
      <c r="A441" s="71" t="str">
        <f>IF(TRIM(E441)&lt;&gt;"",COUNTA(E$11:$E441)&amp;"","")</f>
        <v>258</v>
      </c>
      <c r="B441" s="34"/>
      <c r="C441" s="69" t="s">
        <v>360</v>
      </c>
      <c r="D441" s="246">
        <v>5</v>
      </c>
      <c r="E441" s="74" t="s">
        <v>192</v>
      </c>
    </row>
    <row r="442" spans="1:5" ht="72.5" x14ac:dyDescent="0.35">
      <c r="A442" s="71" t="str">
        <f>IF(TRIM(E442)&lt;&gt;"",COUNTA(E$11:$E442)&amp;"","")</f>
        <v>259</v>
      </c>
      <c r="B442" s="34"/>
      <c r="C442" s="69" t="s">
        <v>361</v>
      </c>
      <c r="D442" s="246">
        <v>5</v>
      </c>
      <c r="E442" s="74" t="s">
        <v>192</v>
      </c>
    </row>
    <row r="443" spans="1:5" ht="43.5" x14ac:dyDescent="0.35">
      <c r="A443" s="71" t="str">
        <f>IF(TRIM(E443)&lt;&gt;"",COUNTA(E$11:$E443)&amp;"","")</f>
        <v>260</v>
      </c>
      <c r="B443" s="34"/>
      <c r="C443" s="69" t="s">
        <v>362</v>
      </c>
      <c r="D443" s="246">
        <v>5</v>
      </c>
      <c r="E443" s="74" t="s">
        <v>192</v>
      </c>
    </row>
    <row r="444" spans="1:5" ht="43.5" x14ac:dyDescent="0.35">
      <c r="A444" s="71" t="str">
        <f>IF(TRIM(E444)&lt;&gt;"",COUNTA(E$11:$E444)&amp;"","")</f>
        <v>261</v>
      </c>
      <c r="B444" s="34"/>
      <c r="C444" s="69" t="s">
        <v>363</v>
      </c>
      <c r="D444" s="246">
        <v>5</v>
      </c>
      <c r="E444" s="74" t="s">
        <v>192</v>
      </c>
    </row>
    <row r="445" spans="1:5" ht="29" x14ac:dyDescent="0.35">
      <c r="A445" s="71" t="str">
        <f>IF(TRIM(E445)&lt;&gt;"",COUNTA(E$11:$E445)&amp;"","")</f>
        <v>262</v>
      </c>
      <c r="B445" s="34"/>
      <c r="C445" s="69" t="s">
        <v>364</v>
      </c>
      <c r="D445" s="246">
        <v>15</v>
      </c>
      <c r="E445" s="74" t="s">
        <v>192</v>
      </c>
    </row>
    <row r="446" spans="1:5" ht="29" x14ac:dyDescent="0.35">
      <c r="A446" s="71" t="str">
        <f>IF(TRIM(E446)&lt;&gt;"",COUNTA(E$11:$E446)&amp;"","")</f>
        <v>263</v>
      </c>
      <c r="B446" s="34"/>
      <c r="C446" s="69" t="s">
        <v>365</v>
      </c>
      <c r="D446" s="246">
        <v>5</v>
      </c>
      <c r="E446" s="74" t="s">
        <v>192</v>
      </c>
    </row>
    <row r="447" spans="1:5" ht="43.5" x14ac:dyDescent="0.35">
      <c r="A447" s="71" t="str">
        <f>IF(TRIM(E447)&lt;&gt;"",COUNTA(E$11:$E447)&amp;"","")</f>
        <v>264</v>
      </c>
      <c r="B447" s="34"/>
      <c r="C447" s="69" t="s">
        <v>366</v>
      </c>
      <c r="D447" s="246">
        <v>10</v>
      </c>
      <c r="E447" s="74" t="s">
        <v>192</v>
      </c>
    </row>
    <row r="448" spans="1:5" ht="43.5" x14ac:dyDescent="0.35">
      <c r="A448" s="71" t="str">
        <f>IF(TRIM(E448)&lt;&gt;"",COUNTA(E$11:$E448)&amp;"","")</f>
        <v>265</v>
      </c>
      <c r="B448" s="34"/>
      <c r="C448" s="69" t="s">
        <v>367</v>
      </c>
      <c r="D448" s="246">
        <v>15</v>
      </c>
      <c r="E448" s="74" t="s">
        <v>192</v>
      </c>
    </row>
    <row r="449" spans="1:5" ht="43.5" x14ac:dyDescent="0.35">
      <c r="A449" s="71" t="str">
        <f>IF(TRIM(E449)&lt;&gt;"",COUNTA(E$11:$E449)&amp;"","")</f>
        <v>266</v>
      </c>
      <c r="B449" s="34"/>
      <c r="C449" s="69" t="s">
        <v>368</v>
      </c>
      <c r="D449" s="246">
        <v>5</v>
      </c>
      <c r="E449" s="74" t="s">
        <v>192</v>
      </c>
    </row>
    <row r="450" spans="1:5" ht="43.5" x14ac:dyDescent="0.35">
      <c r="A450" s="71" t="str">
        <f>IF(TRIM(E450)&lt;&gt;"",COUNTA(E$11:$E450)&amp;"","")</f>
        <v>267</v>
      </c>
      <c r="B450" s="34"/>
      <c r="C450" s="69" t="s">
        <v>369</v>
      </c>
      <c r="D450" s="246">
        <v>5</v>
      </c>
      <c r="E450" s="74" t="s">
        <v>192</v>
      </c>
    </row>
    <row r="451" spans="1:5" ht="43.5" x14ac:dyDescent="0.35">
      <c r="A451" s="71" t="str">
        <f>IF(TRIM(E451)&lt;&gt;"",COUNTA(E$11:$E451)&amp;"","")</f>
        <v>268</v>
      </c>
      <c r="B451" s="34"/>
      <c r="C451" s="69" t="s">
        <v>370</v>
      </c>
      <c r="D451" s="246">
        <v>5</v>
      </c>
      <c r="E451" s="74" t="s">
        <v>192</v>
      </c>
    </row>
    <row r="452" spans="1:5" x14ac:dyDescent="0.35">
      <c r="A452" s="71" t="str">
        <f>IF(TRIM(E452)&lt;&gt;"",COUNTA(E$11:$E452)&amp;"","")</f>
        <v>269</v>
      </c>
      <c r="B452" s="34"/>
      <c r="C452" s="69" t="s">
        <v>371</v>
      </c>
      <c r="D452" s="246">
        <v>5</v>
      </c>
      <c r="E452" s="74" t="s">
        <v>192</v>
      </c>
    </row>
    <row r="453" spans="1:5" x14ac:dyDescent="0.35">
      <c r="A453" s="71" t="str">
        <f>IF(TRIM(E453)&lt;&gt;"",COUNTA(E$11:$E453)&amp;"","")</f>
        <v>270</v>
      </c>
      <c r="B453" s="34"/>
      <c r="C453" s="69" t="s">
        <v>372</v>
      </c>
      <c r="D453" s="246">
        <v>5</v>
      </c>
      <c r="E453" s="74" t="s">
        <v>192</v>
      </c>
    </row>
    <row r="454" spans="1:5" x14ac:dyDescent="0.35">
      <c r="A454" s="71" t="str">
        <f>IF(TRIM(E454)&lt;&gt;"",COUNTA(E$11:$E454)&amp;"","")</f>
        <v>271</v>
      </c>
      <c r="B454" s="34"/>
      <c r="C454" s="69" t="s">
        <v>373</v>
      </c>
      <c r="D454" s="246">
        <v>20</v>
      </c>
      <c r="E454" s="74" t="s">
        <v>192</v>
      </c>
    </row>
    <row r="455" spans="1:5" x14ac:dyDescent="0.35">
      <c r="A455" s="71" t="str">
        <f>IF(TRIM(E455)&lt;&gt;"",COUNTA(E$11:$E455)&amp;"","")</f>
        <v>272</v>
      </c>
      <c r="B455" s="34"/>
      <c r="C455" s="69" t="s">
        <v>374</v>
      </c>
      <c r="D455" s="246">
        <v>5</v>
      </c>
      <c r="E455" s="74" t="s">
        <v>192</v>
      </c>
    </row>
    <row r="456" spans="1:5" x14ac:dyDescent="0.35">
      <c r="A456" s="71" t="str">
        <f>IF(TRIM(E456)&lt;&gt;"",COUNTA(E$11:$E456)&amp;"","")</f>
        <v/>
      </c>
      <c r="B456" s="34"/>
      <c r="C456" s="64"/>
      <c r="D456" s="246"/>
      <c r="E456" s="74"/>
    </row>
    <row r="457" spans="1:5" x14ac:dyDescent="0.35">
      <c r="A457" s="71" t="str">
        <f>IF(TRIM(E457)&lt;&gt;"",COUNTA(E$11:$E457)&amp;"","")</f>
        <v/>
      </c>
      <c r="B457" s="34"/>
      <c r="C457" s="257" t="s">
        <v>375</v>
      </c>
      <c r="D457" s="246"/>
      <c r="E457" s="74"/>
    </row>
    <row r="458" spans="1:5" x14ac:dyDescent="0.35">
      <c r="A458" s="71" t="str">
        <f>IF(TRIM(E458)&lt;&gt;"",COUNTA(E$11:$E458)&amp;"","")</f>
        <v>273</v>
      </c>
      <c r="B458" s="34"/>
      <c r="C458" s="64" t="s">
        <v>376</v>
      </c>
      <c r="D458" s="246">
        <v>5</v>
      </c>
      <c r="E458" s="74" t="s">
        <v>192</v>
      </c>
    </row>
    <row r="459" spans="1:5" x14ac:dyDescent="0.35">
      <c r="A459" s="71" t="str">
        <f>IF(TRIM(E459)&lt;&gt;"",COUNTA(E$11:$E459)&amp;"","")</f>
        <v>274</v>
      </c>
      <c r="B459" s="34"/>
      <c r="C459" s="64" t="s">
        <v>377</v>
      </c>
      <c r="D459" s="246">
        <v>30</v>
      </c>
      <c r="E459" s="74" t="s">
        <v>192</v>
      </c>
    </row>
    <row r="460" spans="1:5" x14ac:dyDescent="0.35">
      <c r="A460" s="71" t="str">
        <f>IF(TRIM(E460)&lt;&gt;"",COUNTA(E$11:$E460)&amp;"","")</f>
        <v>275</v>
      </c>
      <c r="B460" s="34"/>
      <c r="C460" s="64" t="s">
        <v>378</v>
      </c>
      <c r="D460" s="246">
        <v>5</v>
      </c>
      <c r="E460" s="74" t="s">
        <v>192</v>
      </c>
    </row>
    <row r="461" spans="1:5" s="2" customFormat="1" ht="16" thickBot="1" x14ac:dyDescent="0.4">
      <c r="A461" s="84" t="str">
        <f>IF(TRIM(E461)&lt;&gt;"",COUNTA(E$11:$E461)&amp;"","")</f>
        <v/>
      </c>
      <c r="B461" s="37"/>
      <c r="C461" s="19"/>
      <c r="D461" s="90"/>
      <c r="E461" s="91"/>
    </row>
    <row r="462" spans="1:5" ht="25" customHeight="1" thickBot="1" x14ac:dyDescent="0.4">
      <c r="A462" s="181" t="str">
        <f>IF(TRIM(E462)&lt;&gt;"",COUNTA(E$11:$E462)&amp;"","")</f>
        <v/>
      </c>
      <c r="B462" s="193" t="s">
        <v>137</v>
      </c>
      <c r="C462" s="193" t="s">
        <v>140</v>
      </c>
      <c r="D462" s="194"/>
      <c r="E462" s="184"/>
    </row>
    <row r="463" spans="1:5" x14ac:dyDescent="0.35">
      <c r="A463" s="71" t="str">
        <f>IF(TRIM(E463)&lt;&gt;"",COUNTA(E$11:$E463)&amp;"","")</f>
        <v/>
      </c>
      <c r="B463" s="249"/>
      <c r="C463" s="247" t="s">
        <v>311</v>
      </c>
      <c r="D463" s="246"/>
      <c r="E463" s="74"/>
    </row>
    <row r="464" spans="1:5" ht="29" x14ac:dyDescent="0.35">
      <c r="A464" s="71" t="str">
        <f>IF(TRIM(E464)&lt;&gt;"",COUNTA(E$11:$E464)&amp;"","")</f>
        <v>276</v>
      </c>
      <c r="B464" s="249"/>
      <c r="C464" s="69" t="s">
        <v>312</v>
      </c>
      <c r="D464" s="246">
        <v>10</v>
      </c>
      <c r="E464" s="74" t="s">
        <v>192</v>
      </c>
    </row>
    <row r="465" spans="1:5" ht="29" x14ac:dyDescent="0.35">
      <c r="A465" s="71" t="str">
        <f>IF(TRIM(E465)&lt;&gt;"",COUNTA(E$11:$E465)&amp;"","")</f>
        <v>277</v>
      </c>
      <c r="B465" s="249"/>
      <c r="C465" s="69" t="s">
        <v>313</v>
      </c>
      <c r="D465" s="246">
        <v>10</v>
      </c>
      <c r="E465" s="74" t="s">
        <v>192</v>
      </c>
    </row>
    <row r="466" spans="1:5" ht="29" x14ac:dyDescent="0.35">
      <c r="A466" s="71" t="str">
        <f>IF(TRIM(E466)&lt;&gt;"",COUNTA(E$11:$E466)&amp;"","")</f>
        <v>278</v>
      </c>
      <c r="B466" s="249"/>
      <c r="C466" s="69" t="s">
        <v>314</v>
      </c>
      <c r="D466" s="246">
        <v>25</v>
      </c>
      <c r="E466" s="74" t="s">
        <v>192</v>
      </c>
    </row>
    <row r="467" spans="1:5" ht="29" x14ac:dyDescent="0.35">
      <c r="A467" s="71" t="str">
        <f>IF(TRIM(E467)&lt;&gt;"",COUNTA(E$11:$E467)&amp;"","")</f>
        <v>279</v>
      </c>
      <c r="B467" s="249"/>
      <c r="C467" s="69" t="s">
        <v>315</v>
      </c>
      <c r="D467" s="246">
        <v>21</v>
      </c>
      <c r="E467" s="74" t="s">
        <v>192</v>
      </c>
    </row>
    <row r="468" spans="1:5" ht="29" x14ac:dyDescent="0.35">
      <c r="A468" s="71" t="str">
        <f>IF(TRIM(E468)&lt;&gt;"",COUNTA(E$11:$E468)&amp;"","")</f>
        <v>280</v>
      </c>
      <c r="B468" s="249"/>
      <c r="C468" s="69" t="s">
        <v>316</v>
      </c>
      <c r="D468" s="246">
        <v>10</v>
      </c>
      <c r="E468" s="74" t="s">
        <v>192</v>
      </c>
    </row>
    <row r="469" spans="1:5" ht="29" x14ac:dyDescent="0.35">
      <c r="A469" s="71" t="str">
        <f>IF(TRIM(E469)&lt;&gt;"",COUNTA(E$11:$E469)&amp;"","")</f>
        <v>281</v>
      </c>
      <c r="B469" s="249"/>
      <c r="C469" s="69" t="s">
        <v>317</v>
      </c>
      <c r="D469" s="246">
        <v>15</v>
      </c>
      <c r="E469" s="74" t="s">
        <v>192</v>
      </c>
    </row>
    <row r="470" spans="1:5" ht="29" x14ac:dyDescent="0.35">
      <c r="A470" s="71" t="str">
        <f>IF(TRIM(E470)&lt;&gt;"",COUNTA(E$11:$E470)&amp;"","")</f>
        <v>282</v>
      </c>
      <c r="B470" s="249"/>
      <c r="C470" s="69" t="s">
        <v>318</v>
      </c>
      <c r="D470" s="246">
        <v>10</v>
      </c>
      <c r="E470" s="74" t="s">
        <v>192</v>
      </c>
    </row>
    <row r="471" spans="1:5" ht="29" x14ac:dyDescent="0.35">
      <c r="A471" s="71" t="str">
        <f>IF(TRIM(E471)&lt;&gt;"",COUNTA(E$11:$E471)&amp;"","")</f>
        <v>283</v>
      </c>
      <c r="B471" s="249"/>
      <c r="C471" s="69" t="s">
        <v>319</v>
      </c>
      <c r="D471" s="246">
        <v>20</v>
      </c>
      <c r="E471" s="74" t="s">
        <v>192</v>
      </c>
    </row>
    <row r="472" spans="1:5" ht="29" x14ac:dyDescent="0.35">
      <c r="A472" s="71" t="str">
        <f>IF(TRIM(E472)&lt;&gt;"",COUNTA(E$11:$E472)&amp;"","")</f>
        <v>284</v>
      </c>
      <c r="B472" s="249"/>
      <c r="C472" s="69" t="s">
        <v>320</v>
      </c>
      <c r="D472" s="246">
        <v>5</v>
      </c>
      <c r="E472" s="74" t="s">
        <v>192</v>
      </c>
    </row>
    <row r="473" spans="1:5" ht="29" x14ac:dyDescent="0.35">
      <c r="A473" s="71" t="str">
        <f>IF(TRIM(E473)&lt;&gt;"",COUNTA(E$11:$E473)&amp;"","")</f>
        <v>285</v>
      </c>
      <c r="B473" s="249"/>
      <c r="C473" s="69" t="s">
        <v>321</v>
      </c>
      <c r="D473" s="246">
        <v>10</v>
      </c>
      <c r="E473" s="74" t="s">
        <v>192</v>
      </c>
    </row>
    <row r="474" spans="1:5" ht="29" x14ac:dyDescent="0.35">
      <c r="A474" s="71" t="str">
        <f>IF(TRIM(E474)&lt;&gt;"",COUNTA(E$11:$E474)&amp;"","")</f>
        <v>286</v>
      </c>
      <c r="B474" s="249"/>
      <c r="C474" s="69" t="s">
        <v>322</v>
      </c>
      <c r="D474" s="246">
        <v>1</v>
      </c>
      <c r="E474" s="74" t="s">
        <v>192</v>
      </c>
    </row>
    <row r="475" spans="1:5" x14ac:dyDescent="0.35">
      <c r="A475" s="71" t="str">
        <f>IF(TRIM(E475)&lt;&gt;"",COUNTA(E$11:$E475)&amp;"","")</f>
        <v/>
      </c>
      <c r="B475" s="249"/>
      <c r="C475" s="226"/>
      <c r="D475" s="246"/>
      <c r="E475" s="74"/>
    </row>
    <row r="476" spans="1:5" x14ac:dyDescent="0.35">
      <c r="A476" s="71" t="str">
        <f>IF(TRIM(E476)&lt;&gt;"",COUNTA(E$11:$E476)&amp;"","")</f>
        <v/>
      </c>
      <c r="B476" s="249"/>
      <c r="C476" s="247" t="s">
        <v>323</v>
      </c>
      <c r="D476" s="246"/>
      <c r="E476" s="74"/>
    </row>
    <row r="477" spans="1:5" x14ac:dyDescent="0.35">
      <c r="A477" s="71" t="str">
        <f>IF(TRIM(E477)&lt;&gt;"",COUNTA(E$11:$E477)&amp;"","")</f>
        <v>287</v>
      </c>
      <c r="B477" s="249"/>
      <c r="C477" s="64" t="s">
        <v>324</v>
      </c>
      <c r="D477" s="246">
        <v>87</v>
      </c>
      <c r="E477" s="74" t="s">
        <v>192</v>
      </c>
    </row>
    <row r="478" spans="1:5" x14ac:dyDescent="0.35">
      <c r="A478" s="71" t="str">
        <f>IF(TRIM(E478)&lt;&gt;"",COUNTA(E$11:$E478)&amp;"","")</f>
        <v>288</v>
      </c>
      <c r="B478" s="249"/>
      <c r="C478" s="64" t="s">
        <v>325</v>
      </c>
      <c r="D478" s="246">
        <v>152</v>
      </c>
      <c r="E478" s="74" t="s">
        <v>192</v>
      </c>
    </row>
    <row r="479" spans="1:5" x14ac:dyDescent="0.35">
      <c r="A479" s="71" t="str">
        <f>IF(TRIM(E479)&lt;&gt;"",COUNTA(E$11:$E479)&amp;"","")</f>
        <v>289</v>
      </c>
      <c r="B479" s="249"/>
      <c r="C479" s="226" t="s">
        <v>326</v>
      </c>
      <c r="D479" s="246">
        <v>5</v>
      </c>
      <c r="E479" s="74" t="s">
        <v>192</v>
      </c>
    </row>
    <row r="480" spans="1:5" x14ac:dyDescent="0.35">
      <c r="A480" s="71" t="str">
        <f>IF(TRIM(E480)&lt;&gt;"",COUNTA(E$11:$E480)&amp;"","")</f>
        <v>290</v>
      </c>
      <c r="B480" s="249"/>
      <c r="C480" s="226" t="s">
        <v>327</v>
      </c>
      <c r="D480" s="246">
        <v>5</v>
      </c>
      <c r="E480" s="74" t="s">
        <v>192</v>
      </c>
    </row>
    <row r="481" spans="1:5" x14ac:dyDescent="0.35">
      <c r="A481" s="71" t="str">
        <f>IF(TRIM(E481)&lt;&gt;"",COUNTA(E$11:$E481)&amp;"","")</f>
        <v>291</v>
      </c>
      <c r="B481" s="249"/>
      <c r="C481" s="226" t="s">
        <v>328</v>
      </c>
      <c r="D481" s="246">
        <v>5</v>
      </c>
      <c r="E481" s="74" t="s">
        <v>192</v>
      </c>
    </row>
    <row r="482" spans="1:5" x14ac:dyDescent="0.35">
      <c r="A482" s="71" t="str">
        <f>IF(TRIM(E482)&lt;&gt;"",COUNTA(E$11:$E482)&amp;"","")</f>
        <v>292</v>
      </c>
      <c r="B482" s="249"/>
      <c r="C482" s="226" t="s">
        <v>329</v>
      </c>
      <c r="D482" s="246">
        <v>5</v>
      </c>
      <c r="E482" s="74" t="s">
        <v>192</v>
      </c>
    </row>
    <row r="483" spans="1:5" x14ac:dyDescent="0.35">
      <c r="A483" s="71" t="str">
        <f>IF(TRIM(E483)&lt;&gt;"",COUNTA(E$11:$E483)&amp;"","")</f>
        <v>293</v>
      </c>
      <c r="B483" s="249"/>
      <c r="C483" s="250" t="s">
        <v>642</v>
      </c>
      <c r="D483" s="246">
        <v>15</v>
      </c>
      <c r="E483" s="74" t="s">
        <v>192</v>
      </c>
    </row>
    <row r="484" spans="1:5" x14ac:dyDescent="0.35">
      <c r="A484" s="71" t="str">
        <f>IF(TRIM(E484)&lt;&gt;"",COUNTA(E$11:$E484)&amp;"","")</f>
        <v/>
      </c>
      <c r="B484" s="249"/>
      <c r="C484" s="250"/>
      <c r="D484" s="246"/>
      <c r="E484" s="74"/>
    </row>
    <row r="485" spans="1:5" x14ac:dyDescent="0.35">
      <c r="A485" s="71" t="str">
        <f>IF(TRIM(E485)&lt;&gt;"",COUNTA(E$11:$E485)&amp;"","")</f>
        <v/>
      </c>
      <c r="B485" s="249"/>
      <c r="C485" s="247" t="s">
        <v>330</v>
      </c>
      <c r="D485" s="246"/>
      <c r="E485" s="74"/>
    </row>
    <row r="486" spans="1:5" x14ac:dyDescent="0.35">
      <c r="A486" s="71" t="str">
        <f>IF(TRIM(E486)&lt;&gt;"",COUNTA(E$11:$E486)&amp;"","")</f>
        <v>294</v>
      </c>
      <c r="B486" s="249"/>
      <c r="C486" s="250" t="s">
        <v>331</v>
      </c>
      <c r="D486" s="246">
        <v>77</v>
      </c>
      <c r="E486" s="74" t="s">
        <v>192</v>
      </c>
    </row>
    <row r="487" spans="1:5" x14ac:dyDescent="0.35">
      <c r="A487" s="71" t="str">
        <f>IF(TRIM(E487)&lt;&gt;"",COUNTA(E$11:$E487)&amp;"","")</f>
        <v>295</v>
      </c>
      <c r="B487" s="249"/>
      <c r="C487" s="250" t="s">
        <v>332</v>
      </c>
      <c r="D487" s="246">
        <v>49</v>
      </c>
      <c r="E487" s="74" t="s">
        <v>192</v>
      </c>
    </row>
    <row r="488" spans="1:5" x14ac:dyDescent="0.35">
      <c r="A488" s="71" t="str">
        <f>IF(TRIM(E488)&lt;&gt;"",COUNTA(E$11:$E488)&amp;"","")</f>
        <v>296</v>
      </c>
      <c r="B488" s="249"/>
      <c r="C488" s="250" t="s">
        <v>333</v>
      </c>
      <c r="D488" s="246">
        <v>3</v>
      </c>
      <c r="E488" s="74" t="s">
        <v>192</v>
      </c>
    </row>
    <row r="489" spans="1:5" x14ac:dyDescent="0.35">
      <c r="A489" s="71" t="str">
        <f>IF(TRIM(E489)&lt;&gt;"",COUNTA(E$11:$E489)&amp;"","")</f>
        <v>297</v>
      </c>
      <c r="B489" s="249"/>
      <c r="C489" s="226" t="s">
        <v>334</v>
      </c>
      <c r="D489" s="246">
        <v>1</v>
      </c>
      <c r="E489" s="74" t="s">
        <v>192</v>
      </c>
    </row>
    <row r="490" spans="1:5" x14ac:dyDescent="0.35">
      <c r="A490" s="71" t="str">
        <f>IF(TRIM(E490)&lt;&gt;"",COUNTA(E$11:$E490)&amp;"","")</f>
        <v>298</v>
      </c>
      <c r="B490" s="249"/>
      <c r="C490" s="250" t="s">
        <v>335</v>
      </c>
      <c r="D490" s="246">
        <v>1</v>
      </c>
      <c r="E490" s="74" t="s">
        <v>192</v>
      </c>
    </row>
    <row r="491" spans="1:5" x14ac:dyDescent="0.35">
      <c r="A491" s="71" t="str">
        <f>IF(TRIM(E491)&lt;&gt;"",COUNTA(E$11:$E491)&amp;"","")</f>
        <v/>
      </c>
      <c r="B491" s="249"/>
      <c r="C491" s="250"/>
      <c r="D491" s="246"/>
      <c r="E491" s="74"/>
    </row>
    <row r="492" spans="1:5" x14ac:dyDescent="0.35">
      <c r="A492" s="71" t="str">
        <f>IF(TRIM(E492)&lt;&gt;"",COUNTA(E$11:$E492)&amp;"","")</f>
        <v/>
      </c>
      <c r="B492" s="249"/>
      <c r="C492" s="247" t="s">
        <v>336</v>
      </c>
      <c r="D492" s="246"/>
      <c r="E492" s="74"/>
    </row>
    <row r="493" spans="1:5" x14ac:dyDescent="0.35">
      <c r="A493" s="71" t="str">
        <f>IF(TRIM(E493)&lt;&gt;"",COUNTA(E$11:$E493)&amp;"","")</f>
        <v>299</v>
      </c>
      <c r="B493" s="249"/>
      <c r="C493" s="250" t="s">
        <v>337</v>
      </c>
      <c r="D493" s="246">
        <v>5</v>
      </c>
      <c r="E493" s="74" t="s">
        <v>192</v>
      </c>
    </row>
    <row r="494" spans="1:5" x14ac:dyDescent="0.35">
      <c r="A494" s="71" t="str">
        <f>IF(TRIM(E494)&lt;&gt;"",COUNTA(E$11:$E494)&amp;"","")</f>
        <v>300</v>
      </c>
      <c r="B494" s="249"/>
      <c r="C494" s="250" t="s">
        <v>338</v>
      </c>
      <c r="D494" s="246">
        <v>5</v>
      </c>
      <c r="E494" s="74" t="s">
        <v>192</v>
      </c>
    </row>
    <row r="495" spans="1:5" x14ac:dyDescent="0.35">
      <c r="A495" s="71" t="str">
        <f>IF(TRIM(E495)&lt;&gt;"",COUNTA(E$11:$E495)&amp;"","")</f>
        <v>301</v>
      </c>
      <c r="B495" s="249"/>
      <c r="C495" s="250" t="s">
        <v>339</v>
      </c>
      <c r="D495" s="246">
        <v>5</v>
      </c>
      <c r="E495" s="74" t="s">
        <v>192</v>
      </c>
    </row>
    <row r="496" spans="1:5" x14ac:dyDescent="0.35">
      <c r="A496" s="71" t="str">
        <f>IF(TRIM(E496)&lt;&gt;"",COUNTA(E$11:$E496)&amp;"","")</f>
        <v>302</v>
      </c>
      <c r="B496" s="249"/>
      <c r="C496" s="226" t="s">
        <v>340</v>
      </c>
      <c r="D496" s="246">
        <v>20</v>
      </c>
      <c r="E496" s="74" t="s">
        <v>192</v>
      </c>
    </row>
    <row r="497" spans="1:5" x14ac:dyDescent="0.35">
      <c r="A497" s="71" t="str">
        <f>IF(TRIM(E497)&lt;&gt;"",COUNTA(E$11:$E497)&amp;"","")</f>
        <v>303</v>
      </c>
      <c r="B497" s="249"/>
      <c r="C497" s="250" t="s">
        <v>341</v>
      </c>
      <c r="D497" s="246">
        <v>20</v>
      </c>
      <c r="E497" s="74" t="s">
        <v>192</v>
      </c>
    </row>
    <row r="498" spans="1:5" x14ac:dyDescent="0.35">
      <c r="A498" s="71" t="str">
        <f>IF(TRIM(E498)&lt;&gt;"",COUNTA(E$11:$E498)&amp;"","")</f>
        <v>304</v>
      </c>
      <c r="B498" s="249"/>
      <c r="C498" s="250" t="s">
        <v>342</v>
      </c>
      <c r="D498" s="246">
        <v>25</v>
      </c>
      <c r="E498" s="74" t="s">
        <v>192</v>
      </c>
    </row>
    <row r="499" spans="1:5" x14ac:dyDescent="0.35">
      <c r="A499" s="71" t="str">
        <f>IF(TRIM(E499)&lt;&gt;"",COUNTA(E$11:$E499)&amp;"","")</f>
        <v>305</v>
      </c>
      <c r="B499" s="249"/>
      <c r="C499" s="250" t="s">
        <v>343</v>
      </c>
      <c r="D499" s="246">
        <v>5</v>
      </c>
      <c r="E499" s="74" t="s">
        <v>192</v>
      </c>
    </row>
    <row r="500" spans="1:5" x14ac:dyDescent="0.35">
      <c r="A500" s="71" t="str">
        <f>IF(TRIM(E500)&lt;&gt;"",COUNTA(E$11:$E500)&amp;"","")</f>
        <v>306</v>
      </c>
      <c r="B500" s="249"/>
      <c r="C500" s="250" t="s">
        <v>344</v>
      </c>
      <c r="D500" s="246">
        <v>16</v>
      </c>
      <c r="E500" s="74" t="s">
        <v>192</v>
      </c>
    </row>
    <row r="501" spans="1:5" x14ac:dyDescent="0.35">
      <c r="A501" s="71" t="str">
        <f>IF(TRIM(E501)&lt;&gt;"",COUNTA(E$11:$E501)&amp;"","")</f>
        <v>307</v>
      </c>
      <c r="B501" s="249"/>
      <c r="C501" s="250" t="s">
        <v>345</v>
      </c>
      <c r="D501" s="246">
        <v>1</v>
      </c>
      <c r="E501" s="74" t="s">
        <v>192</v>
      </c>
    </row>
    <row r="502" spans="1:5" x14ac:dyDescent="0.35">
      <c r="A502" s="71" t="str">
        <f>IF(TRIM(E502)&lt;&gt;"",COUNTA(E$11:$E502)&amp;"","")</f>
        <v>308</v>
      </c>
      <c r="B502" s="249"/>
      <c r="C502" s="226" t="s">
        <v>346</v>
      </c>
      <c r="D502" s="246">
        <v>1</v>
      </c>
      <c r="E502" s="74" t="s">
        <v>192</v>
      </c>
    </row>
    <row r="503" spans="1:5" x14ac:dyDescent="0.35">
      <c r="A503" s="71" t="str">
        <f>IF(TRIM(E503)&lt;&gt;"",COUNTA(E$11:$E503)&amp;"","")</f>
        <v>309</v>
      </c>
      <c r="B503" s="249"/>
      <c r="C503" s="69" t="s">
        <v>347</v>
      </c>
      <c r="D503" s="246">
        <v>1</v>
      </c>
      <c r="E503" s="74" t="s">
        <v>192</v>
      </c>
    </row>
    <row r="504" spans="1:5" x14ac:dyDescent="0.35">
      <c r="A504" s="71" t="str">
        <f>IF(TRIM(E504)&lt;&gt;"",COUNTA(E$11:$E504)&amp;"","")</f>
        <v/>
      </c>
      <c r="B504" s="249"/>
      <c r="C504" s="69"/>
      <c r="D504" s="246"/>
      <c r="E504" s="74"/>
    </row>
    <row r="505" spans="1:5" x14ac:dyDescent="0.35">
      <c r="A505" s="71" t="str">
        <f>IF(TRIM(E505)&lt;&gt;"",COUNTA(E$11:$E505)&amp;"","")</f>
        <v/>
      </c>
      <c r="B505" s="249"/>
      <c r="C505" s="247" t="s">
        <v>348</v>
      </c>
      <c r="D505" s="246"/>
      <c r="E505" s="74"/>
    </row>
    <row r="506" spans="1:5" ht="87" x14ac:dyDescent="0.35">
      <c r="A506" s="71" t="str">
        <f>IF(TRIM(E506)&lt;&gt;"",COUNTA(E$11:$E506)&amp;"","")</f>
        <v>310</v>
      </c>
      <c r="B506" s="249"/>
      <c r="C506" s="69" t="s">
        <v>349</v>
      </c>
      <c r="D506" s="246">
        <v>5</v>
      </c>
      <c r="E506" s="74" t="s">
        <v>192</v>
      </c>
    </row>
    <row r="507" spans="1:5" ht="29" x14ac:dyDescent="0.35">
      <c r="A507" s="71" t="str">
        <f>IF(TRIM(E507)&lt;&gt;"",COUNTA(E$11:$E507)&amp;"","")</f>
        <v>311</v>
      </c>
      <c r="B507" s="249"/>
      <c r="C507" s="69" t="s">
        <v>350</v>
      </c>
      <c r="D507" s="246">
        <v>1</v>
      </c>
      <c r="E507" s="74" t="s">
        <v>192</v>
      </c>
    </row>
    <row r="508" spans="1:5" x14ac:dyDescent="0.35">
      <c r="A508" s="71" t="str">
        <f>IF(TRIM(E508)&lt;&gt;"",COUNTA(E$11:$E508)&amp;"","")</f>
        <v>312</v>
      </c>
      <c r="B508" s="249"/>
      <c r="C508" s="69" t="s">
        <v>351</v>
      </c>
      <c r="D508" s="246">
        <v>1</v>
      </c>
      <c r="E508" s="74" t="s">
        <v>192</v>
      </c>
    </row>
    <row r="509" spans="1:5" x14ac:dyDescent="0.35">
      <c r="A509" s="71" t="str">
        <f>IF(TRIM(E509)&lt;&gt;"",COUNTA(E$11:$E509)&amp;"","")</f>
        <v/>
      </c>
      <c r="B509" s="249"/>
      <c r="C509" s="69"/>
      <c r="D509" s="246"/>
      <c r="E509" s="74"/>
    </row>
    <row r="510" spans="1:5" x14ac:dyDescent="0.35">
      <c r="A510" s="71" t="str">
        <f>IF(TRIM(E510)&lt;&gt;"",COUNTA(E$11:$E510)&amp;"","")</f>
        <v/>
      </c>
      <c r="B510" s="249"/>
      <c r="C510" s="247" t="s">
        <v>353</v>
      </c>
      <c r="D510" s="246"/>
      <c r="E510" s="74"/>
    </row>
    <row r="511" spans="1:5" x14ac:dyDescent="0.35">
      <c r="A511" s="71" t="str">
        <f>IF(TRIM(E511)&lt;&gt;"",COUNTA(E$11:$E511)&amp;"","")</f>
        <v>313</v>
      </c>
      <c r="B511" s="249"/>
      <c r="C511" s="226" t="s">
        <v>352</v>
      </c>
      <c r="D511" s="246">
        <v>8499.66</v>
      </c>
      <c r="E511" s="74" t="s">
        <v>141</v>
      </c>
    </row>
    <row r="512" spans="1:5" s="2" customFormat="1" ht="16" thickBot="1" x14ac:dyDescent="0.4">
      <c r="A512" s="84" t="str">
        <f>IF(TRIM(E512)&lt;&gt;"",COUNTA(E$11:$E512)&amp;"","")</f>
        <v/>
      </c>
      <c r="B512" s="37"/>
      <c r="C512" s="19"/>
      <c r="D512" s="90"/>
      <c r="E512" s="91"/>
    </row>
    <row r="513" spans="1:5" ht="30" customHeight="1" thickBot="1" x14ac:dyDescent="0.4">
      <c r="A513" s="186" t="str">
        <f>IF(TRIM(E513)&lt;&gt;"",COUNTA(E$11:$E513)&amp;"","")</f>
        <v/>
      </c>
      <c r="B513" s="188"/>
      <c r="C513" s="208" t="s">
        <v>172</v>
      </c>
      <c r="D513" s="189"/>
      <c r="E513" s="189"/>
    </row>
    <row r="514" spans="1:5" ht="25" customHeight="1" thickBot="1" x14ac:dyDescent="0.4">
      <c r="A514" s="181" t="str">
        <f>IF(TRIM(E514)&lt;&gt;"",COUNTA(E$11:$E514)&amp;"","")</f>
        <v/>
      </c>
      <c r="B514" s="193" t="s">
        <v>59</v>
      </c>
      <c r="C514" s="193" t="s">
        <v>60</v>
      </c>
      <c r="D514" s="194"/>
      <c r="E514" s="184"/>
    </row>
    <row r="515" spans="1:5" s="18" customFormat="1" ht="19.25" customHeight="1" x14ac:dyDescent="0.35">
      <c r="A515" s="71" t="str">
        <f>IF(TRIM(E515)&lt;&gt;"",COUNTA(E$11:$E515)&amp;"","")</f>
        <v/>
      </c>
      <c r="B515" s="207" t="s">
        <v>97</v>
      </c>
      <c r="C515" s="205" t="s">
        <v>96</v>
      </c>
      <c r="D515" s="73"/>
      <c r="E515" s="74"/>
    </row>
    <row r="516" spans="1:5" x14ac:dyDescent="0.35">
      <c r="A516" s="71" t="str">
        <f>IF(TRIM(E516)&lt;&gt;"",COUNTA(E$11:$E516)&amp;"","")</f>
        <v>314</v>
      </c>
      <c r="B516" s="34"/>
      <c r="C516" s="56" t="s">
        <v>156</v>
      </c>
      <c r="D516" s="73">
        <f>D519-D520</f>
        <v>164.62962962962965</v>
      </c>
      <c r="E516" s="74" t="s">
        <v>157</v>
      </c>
    </row>
    <row r="517" spans="1:5" x14ac:dyDescent="0.35">
      <c r="A517" s="71" t="str">
        <f>IF(TRIM(E517)&lt;&gt;"",COUNTA(E$11:$E517)&amp;"","")</f>
        <v/>
      </c>
      <c r="B517" s="34"/>
      <c r="C517" s="56"/>
      <c r="D517" s="73"/>
      <c r="E517" s="74"/>
    </row>
    <row r="518" spans="1:5" s="18" customFormat="1" ht="19.25" customHeight="1" x14ac:dyDescent="0.35">
      <c r="A518" s="71" t="str">
        <f>IF(TRIM(E518)&lt;&gt;"",COUNTA(E$11:$E518)&amp;"","")</f>
        <v/>
      </c>
      <c r="B518" s="207" t="s">
        <v>99</v>
      </c>
      <c r="C518" s="205" t="s">
        <v>98</v>
      </c>
      <c r="D518" s="73"/>
      <c r="E518" s="74"/>
    </row>
    <row r="519" spans="1:5" x14ac:dyDescent="0.35">
      <c r="A519" s="71" t="str">
        <f>IF(TRIM(E519)&lt;&gt;"",COUNTA(E$11:$E519)&amp;"","")</f>
        <v>315</v>
      </c>
      <c r="B519" s="34"/>
      <c r="C519" s="56" t="s">
        <v>158</v>
      </c>
      <c r="D519" s="73">
        <f>104*45/27</f>
        <v>173.33333333333334</v>
      </c>
      <c r="E519" s="74" t="s">
        <v>157</v>
      </c>
    </row>
    <row r="520" spans="1:5" x14ac:dyDescent="0.35">
      <c r="A520" s="71" t="str">
        <f>IF(TRIM(E520)&lt;&gt;"",COUNTA(E$11:$E520)&amp;"","")</f>
        <v>316</v>
      </c>
      <c r="B520" s="34"/>
      <c r="C520" s="56" t="s">
        <v>159</v>
      </c>
      <c r="D520" s="73">
        <f>5*47/27</f>
        <v>8.7037037037037042</v>
      </c>
      <c r="E520" s="74" t="s">
        <v>157</v>
      </c>
    </row>
    <row r="521" spans="1:5" s="2" customFormat="1" ht="16" thickBot="1" x14ac:dyDescent="0.4">
      <c r="A521" s="84" t="str">
        <f>IF(TRIM(E521)&lt;&gt;"",COUNTA(E$11:$E521)&amp;"","")</f>
        <v/>
      </c>
      <c r="B521" s="37"/>
      <c r="C521" s="19"/>
      <c r="D521" s="90"/>
      <c r="E521" s="91"/>
    </row>
    <row r="522" spans="1:5" ht="25" customHeight="1" thickBot="1" x14ac:dyDescent="0.4">
      <c r="A522" s="181" t="str">
        <f>IF(TRIM(E522)&lt;&gt;"",COUNTA(E$11:$E522)&amp;"","")</f>
        <v/>
      </c>
      <c r="B522" s="193" t="s">
        <v>117</v>
      </c>
      <c r="C522" s="193" t="s">
        <v>118</v>
      </c>
      <c r="D522" s="194"/>
      <c r="E522" s="184"/>
    </row>
    <row r="523" spans="1:5" s="18" customFormat="1" ht="19.25" customHeight="1" x14ac:dyDescent="0.35">
      <c r="A523" s="71" t="str">
        <f>IF(TRIM(E523)&lt;&gt;"",COUNTA(E$11:$E523)&amp;"","")</f>
        <v/>
      </c>
      <c r="B523" s="207" t="s">
        <v>101</v>
      </c>
      <c r="C523" s="205" t="s">
        <v>100</v>
      </c>
      <c r="D523" s="73"/>
      <c r="E523" s="74"/>
    </row>
    <row r="524" spans="1:5" x14ac:dyDescent="0.35">
      <c r="A524" s="71" t="str">
        <f>IF(TRIM(E524)&lt;&gt;"",COUNTA(E$11:$E524)&amp;"","")</f>
        <v>317</v>
      </c>
      <c r="B524" s="34"/>
      <c r="C524" s="56" t="s">
        <v>482</v>
      </c>
      <c r="D524" s="73">
        <v>1495.59</v>
      </c>
      <c r="E524" s="73" t="s">
        <v>141</v>
      </c>
    </row>
    <row r="525" spans="1:5" x14ac:dyDescent="0.35">
      <c r="A525" s="71" t="str">
        <f>IF(TRIM(E525)&lt;&gt;"",COUNTA(E$11:$E525)&amp;"","")</f>
        <v>318</v>
      </c>
      <c r="B525" s="34"/>
      <c r="C525" s="56" t="s">
        <v>483</v>
      </c>
      <c r="D525" s="73">
        <v>781.57</v>
      </c>
      <c r="E525" s="73" t="s">
        <v>141</v>
      </c>
    </row>
    <row r="526" spans="1:5" x14ac:dyDescent="0.35">
      <c r="A526" s="71" t="str">
        <f>IF(TRIM(E526)&lt;&gt;"",COUNTA(E$11:$E526)&amp;"","")</f>
        <v/>
      </c>
      <c r="B526" s="34"/>
      <c r="C526" s="56"/>
      <c r="D526" s="73"/>
      <c r="E526" s="74"/>
    </row>
    <row r="527" spans="1:5" s="18" customFormat="1" ht="19.25" customHeight="1" x14ac:dyDescent="0.35">
      <c r="A527" s="71" t="str">
        <f>IF(TRIM(E527)&lt;&gt;"",COUNTA(E$11:$E527)&amp;"","")</f>
        <v/>
      </c>
      <c r="B527" s="207" t="s">
        <v>103</v>
      </c>
      <c r="C527" s="205" t="s">
        <v>102</v>
      </c>
      <c r="D527" s="73"/>
      <c r="E527" s="74"/>
    </row>
    <row r="528" spans="1:5" x14ac:dyDescent="0.35">
      <c r="A528" s="71" t="str">
        <f>IF(TRIM(E528)&lt;&gt;"",COUNTA(E$11:$E528)&amp;"","")</f>
        <v>319</v>
      </c>
      <c r="B528" s="34"/>
      <c r="C528" s="56" t="s">
        <v>484</v>
      </c>
      <c r="D528" s="73">
        <v>92.64</v>
      </c>
      <c r="E528" s="73" t="s">
        <v>154</v>
      </c>
    </row>
    <row r="529" spans="1:5" s="2" customFormat="1" ht="16" thickBot="1" x14ac:dyDescent="0.4">
      <c r="A529" s="84" t="str">
        <f>IF(TRIM(E529)&lt;&gt;"",COUNTA(E$11:$E529)&amp;"","")</f>
        <v/>
      </c>
      <c r="B529" s="37"/>
      <c r="C529" s="19"/>
      <c r="D529" s="90"/>
      <c r="E529" s="91"/>
    </row>
    <row r="530" spans="1:5" ht="25" customHeight="1" thickBot="1" x14ac:dyDescent="0.4">
      <c r="A530" s="181" t="str">
        <f>IF(TRIM(E530)&lt;&gt;"",COUNTA(E$11:$E530)&amp;"","")</f>
        <v/>
      </c>
      <c r="B530" s="193" t="s">
        <v>104</v>
      </c>
      <c r="C530" s="193" t="s">
        <v>119</v>
      </c>
      <c r="D530" s="194"/>
      <c r="E530" s="184"/>
    </row>
    <row r="531" spans="1:5" s="18" customFormat="1" ht="19.25" customHeight="1" x14ac:dyDescent="0.35">
      <c r="A531" s="110" t="str">
        <f>IF(TRIM(E531)&lt;&gt;"",COUNTA(E$11:$E531)&amp;"","")</f>
        <v/>
      </c>
      <c r="B531" s="201" t="s">
        <v>106</v>
      </c>
      <c r="C531" s="203" t="s">
        <v>105</v>
      </c>
      <c r="D531" s="114"/>
      <c r="E531" s="115"/>
    </row>
    <row r="532" spans="1:5" x14ac:dyDescent="0.35">
      <c r="A532" s="71" t="str">
        <f>IF(TRIM(E532)&lt;&gt;"",COUNTA(E$11:$E532)&amp;"","")</f>
        <v>320</v>
      </c>
      <c r="B532" s="34"/>
      <c r="C532" s="56" t="s">
        <v>486</v>
      </c>
      <c r="D532" s="73">
        <v>13.85</v>
      </c>
      <c r="E532" s="73" t="s">
        <v>154</v>
      </c>
    </row>
    <row r="533" spans="1:5" x14ac:dyDescent="0.35">
      <c r="A533" s="71" t="str">
        <f>IF(TRIM(E533)&lt;&gt;"",COUNTA(E$11:$E533)&amp;"","")</f>
        <v>321</v>
      </c>
      <c r="B533" s="34"/>
      <c r="C533" s="56" t="s">
        <v>487</v>
      </c>
      <c r="D533" s="73">
        <v>13.9</v>
      </c>
      <c r="E533" s="73" t="s">
        <v>154</v>
      </c>
    </row>
    <row r="534" spans="1:5" x14ac:dyDescent="0.35">
      <c r="A534" s="71" t="str">
        <f>IF(TRIM(E534)&lt;&gt;"",COUNTA(E$11:$E534)&amp;"","")</f>
        <v/>
      </c>
      <c r="B534" s="34"/>
      <c r="C534" s="69"/>
      <c r="D534" s="73"/>
      <c r="E534" s="74"/>
    </row>
    <row r="535" spans="1:5" s="18" customFormat="1" ht="19.25" customHeight="1" x14ac:dyDescent="0.35">
      <c r="A535" s="71" t="str">
        <f>IF(TRIM(E535)&lt;&gt;"",COUNTA(E$11:$E535)&amp;"","")</f>
        <v/>
      </c>
      <c r="B535" s="207" t="s">
        <v>108</v>
      </c>
      <c r="C535" s="205" t="s">
        <v>107</v>
      </c>
      <c r="D535" s="73"/>
      <c r="E535" s="74"/>
    </row>
    <row r="536" spans="1:5" x14ac:dyDescent="0.35">
      <c r="A536" s="71" t="str">
        <f>IF(TRIM(E536)&lt;&gt;"",COUNTA(E$11:$E536)&amp;"","")</f>
        <v>322</v>
      </c>
      <c r="B536" s="34"/>
      <c r="C536" s="56" t="s">
        <v>488</v>
      </c>
      <c r="D536" s="73">
        <v>22.18</v>
      </c>
      <c r="E536" s="73" t="s">
        <v>154</v>
      </c>
    </row>
    <row r="537" spans="1:5" x14ac:dyDescent="0.35">
      <c r="A537" s="71" t="str">
        <f>IF(TRIM(E537)&lt;&gt;"",COUNTA(E$11:$E537)&amp;"","")</f>
        <v/>
      </c>
      <c r="B537" s="34"/>
      <c r="C537" s="56"/>
      <c r="D537" s="73"/>
      <c r="E537" s="74"/>
    </row>
    <row r="538" spans="1:5" s="18" customFormat="1" ht="19.25" customHeight="1" x14ac:dyDescent="0.35">
      <c r="A538" s="71" t="str">
        <f>IF(TRIM(E538)&lt;&gt;"",COUNTA(E$11:$E538)&amp;"","")</f>
        <v/>
      </c>
      <c r="B538" s="207" t="s">
        <v>183</v>
      </c>
      <c r="C538" s="205" t="s">
        <v>109</v>
      </c>
      <c r="D538" s="73"/>
      <c r="E538" s="74"/>
    </row>
    <row r="539" spans="1:5" x14ac:dyDescent="0.35">
      <c r="A539" s="71" t="str">
        <f>IF(TRIM(E539)&lt;&gt;"",COUNTA(E$11:$E539)&amp;"","")</f>
        <v>323</v>
      </c>
      <c r="B539" s="34"/>
      <c r="C539" s="56" t="s">
        <v>489</v>
      </c>
      <c r="D539" s="73">
        <v>147.11000000000001</v>
      </c>
      <c r="E539" s="73" t="s">
        <v>154</v>
      </c>
    </row>
    <row r="540" spans="1:5" x14ac:dyDescent="0.35">
      <c r="A540" s="71" t="str">
        <f>IF(TRIM(E540)&lt;&gt;"",COUNTA(E$11:$E540)&amp;"","")</f>
        <v/>
      </c>
      <c r="B540" s="34"/>
      <c r="C540" s="56"/>
      <c r="D540" s="73"/>
      <c r="E540" s="74"/>
    </row>
    <row r="541" spans="1:5" x14ac:dyDescent="0.35">
      <c r="A541" s="71" t="str">
        <f>IF(TRIM(E541)&lt;&gt;"",COUNTA(E$11:$E541)&amp;"","")</f>
        <v/>
      </c>
      <c r="B541" s="34"/>
      <c r="C541" s="205" t="s">
        <v>479</v>
      </c>
      <c r="D541" s="73"/>
      <c r="E541" s="74"/>
    </row>
    <row r="542" spans="1:5" x14ac:dyDescent="0.35">
      <c r="A542" s="71" t="str">
        <f>IF(TRIM(E542)&lt;&gt;"",COUNTA(E$11:$E542)&amp;"","")</f>
        <v>324</v>
      </c>
      <c r="B542" s="34"/>
      <c r="C542" s="76" t="s">
        <v>158</v>
      </c>
      <c r="D542" s="73">
        <f>197*2.5*3/27</f>
        <v>54.722222222222221</v>
      </c>
      <c r="E542" s="74" t="s">
        <v>157</v>
      </c>
    </row>
    <row r="543" spans="1:5" x14ac:dyDescent="0.35">
      <c r="A543" s="71" t="str">
        <f>IF(TRIM(E543)&lt;&gt;"",COUNTA(E$11:$E543)&amp;"","")</f>
        <v>325</v>
      </c>
      <c r="B543" s="34"/>
      <c r="C543" s="76" t="s">
        <v>159</v>
      </c>
      <c r="D543" s="73">
        <f>D542-((197*0.5*0.5)/27)</f>
        <v>52.898148148148145</v>
      </c>
      <c r="E543" s="74" t="s">
        <v>157</v>
      </c>
    </row>
    <row r="544" spans="1:5" x14ac:dyDescent="0.35">
      <c r="A544" s="71" t="str">
        <f>IF(TRIM(E544)&lt;&gt;"",COUNTA(E$11:$E544)&amp;"","")</f>
        <v/>
      </c>
      <c r="B544" s="34"/>
      <c r="C544" s="76"/>
      <c r="D544" s="73"/>
      <c r="E544" s="74"/>
    </row>
    <row r="545" spans="1:5" x14ac:dyDescent="0.35">
      <c r="A545" s="71" t="str">
        <f>IF(TRIM(E545)&lt;&gt;"",COUNTA(E$11:$E545)&amp;"","")</f>
        <v/>
      </c>
      <c r="B545" s="34"/>
      <c r="C545" s="205" t="s">
        <v>398</v>
      </c>
      <c r="D545" s="73"/>
      <c r="E545" s="74"/>
    </row>
    <row r="546" spans="1:5" x14ac:dyDescent="0.35">
      <c r="A546" s="71" t="str">
        <f>IF(TRIM(E546)&lt;&gt;"",COUNTA(E$11:$E546)&amp;"","")</f>
        <v>326</v>
      </c>
      <c r="B546" s="34"/>
      <c r="C546" s="56" t="s">
        <v>490</v>
      </c>
      <c r="D546" s="73">
        <v>54.5</v>
      </c>
      <c r="E546" s="73" t="s">
        <v>154</v>
      </c>
    </row>
    <row r="547" spans="1:5" ht="15" thickBot="1" x14ac:dyDescent="0.4">
      <c r="A547" s="127" t="str">
        <f>IF(TRIM(E547)&lt;&gt;"",COUNTA(E$10:$E547)&amp;"","")</f>
        <v/>
      </c>
      <c r="B547" s="129"/>
      <c r="C547" s="130"/>
      <c r="D547" s="131"/>
      <c r="E547" s="132"/>
    </row>
    <row r="548" spans="1:5" ht="15" thickBot="1" x14ac:dyDescent="0.4">
      <c r="A548" s="38"/>
      <c r="B548" s="351"/>
      <c r="C548" s="351"/>
      <c r="D548" s="351"/>
      <c r="E548" s="351"/>
    </row>
  </sheetData>
  <mergeCells count="8">
    <mergeCell ref="B548:E548"/>
    <mergeCell ref="A6:D6"/>
    <mergeCell ref="D4:E4"/>
    <mergeCell ref="D5:E5"/>
    <mergeCell ref="A1:B5"/>
    <mergeCell ref="C1:E1"/>
    <mergeCell ref="C2:E2"/>
    <mergeCell ref="D3:E3"/>
  </mergeCells>
  <conditionalFormatting sqref="C55:C113">
    <cfRule type="duplicateValues" dxfId="0" priority="1"/>
  </conditionalFormatting>
  <printOptions horizontalCentered="1"/>
  <pageMargins left="0.23622047244094491" right="0.23622047244094491" top="0.74803149606299213" bottom="0.74803149606299213" header="0.31496062992125984" footer="0.31496062992125984"/>
  <pageSetup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S w i f t T o k e n s   x m l n s : x s d = " h t t p : / / w w w . w 3 . o r g / 2 0 0 1 / X M L S c h e m a "   x m l n s : x s i = " h t t p : / / w w w . w 3 . o r g / 2 0 0 1 / X M L S c h e m a - i n s t a n c e " > < T o k e n s / > < / S w i f t T o k e n s > 
</file>

<file path=customXml/itemProps1.xml><?xml version="1.0" encoding="utf-8"?>
<ds:datastoreItem xmlns:ds="http://schemas.openxmlformats.org/officeDocument/2006/customXml" ds:itemID="{A1AFEE1F-97A3-49FE-BB90-3C40BC2310E9}">
  <ds:schemaRefs>
    <ds:schemaRef ds:uri="http://www.w3.org/2001/XMLSchem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7</vt:i4>
      </vt:variant>
    </vt:vector>
  </HeadingPairs>
  <TitlesOfParts>
    <vt:vector size="11" baseType="lpstr">
      <vt:lpstr>Bid Recap &amp; Summary</vt:lpstr>
      <vt:lpstr>Worksheet</vt:lpstr>
      <vt:lpstr>Lumber Breakdown</vt:lpstr>
      <vt:lpstr>Material List</vt:lpstr>
      <vt:lpstr>'Bid Recap &amp; Summary'!Print_Area</vt:lpstr>
      <vt:lpstr>'Lumber Breakdown'!Print_Area</vt:lpstr>
      <vt:lpstr>'Material List'!Print_Area</vt:lpstr>
      <vt:lpstr>Worksheet!Print_Area</vt:lpstr>
      <vt:lpstr>'Lumber Breakdown'!Print_Titles</vt:lpstr>
      <vt:lpstr>'Material List'!Print_Titles</vt:lpstr>
      <vt:lpstr>Worksheet!Print_Titles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2026-03-13T19:44:08Z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lanSwiftJobName">
    <vt:lpwstr/>
  </property>
  <property fmtid="{D5CDD505-2E9C-101B-9397-08002B2CF9AE}" pid="3" name="PlanSwiftJobGuid">
    <vt:lpwstr/>
  </property>
  <property fmtid="{D5CDD505-2E9C-101B-9397-08002B2CF9AE}" pid="4" name="LinkedDataId">
    <vt:lpwstr>{A1AFEE1F-97A3-49FE-BB90-3C40BC2310E9}</vt:lpwstr>
  </property>
</Properties>
</file>