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CE88A150-E29F-48BC-97AB-4BF81F7BE9EA}" xr6:coauthVersionLast="47" xr6:coauthVersionMax="47" xr10:uidLastSave="{00000000-0000-0000-0000-000000000000}"/>
  <bookViews>
    <workbookView xWindow="-110" yWindow="-110" windowWidth="19420" windowHeight="10420" tabRatio="721" activeTab="1" xr2:uid="{00000000-000D-0000-FFFF-FFFF00000000}"/>
  </bookViews>
  <sheets>
    <sheet name="Bid Recap &amp; Summary" sheetId="2" r:id="rId1"/>
    <sheet name="Worksheet" sheetId="1" r:id="rId2"/>
  </sheets>
  <definedNames>
    <definedName name="_xlnm._FilterDatabase" localSheetId="0" hidden="1">'Bid Recap &amp; Summary'!$A$2:$Q$2</definedName>
    <definedName name="_xlnm._FilterDatabase" localSheetId="1" hidden="1">Worksheet!$E$492:$I$675</definedName>
    <definedName name="_xlnm.Print_Area" localSheetId="0">'Bid Recap &amp; Summary'!$A$1:$N$56</definedName>
    <definedName name="_xlnm.Print_Area" localSheetId="1">Worksheet!$A$1:$R$862</definedName>
    <definedName name="_xlnm.Print_Titles" localSheetId="1">Worksheet!$1:$7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3" i="1" l="1"/>
  <c r="L303" i="1" s="1"/>
  <c r="J650" i="1"/>
  <c r="M650" i="1"/>
  <c r="L650" i="1"/>
  <c r="J643" i="1"/>
  <c r="M643" i="1"/>
  <c r="M636" i="1"/>
  <c r="J636" i="1"/>
  <c r="K636" i="1" s="1"/>
  <c r="M629" i="1"/>
  <c r="J629" i="1"/>
  <c r="J645" i="1"/>
  <c r="L643" i="1"/>
  <c r="J638" i="1"/>
  <c r="L636" i="1"/>
  <c r="J631" i="1"/>
  <c r="L629" i="1"/>
  <c r="J592" i="1"/>
  <c r="M590" i="1"/>
  <c r="L590" i="1"/>
  <c r="J590" i="1"/>
  <c r="M615" i="1"/>
  <c r="L615" i="1"/>
  <c r="J615" i="1"/>
  <c r="M622" i="1"/>
  <c r="J622" i="1"/>
  <c r="J624" i="1"/>
  <c r="L622" i="1"/>
  <c r="J617" i="1"/>
  <c r="J611" i="1"/>
  <c r="M609" i="1"/>
  <c r="L609" i="1"/>
  <c r="J609" i="1"/>
  <c r="J605" i="1"/>
  <c r="M603" i="1"/>
  <c r="L603" i="1"/>
  <c r="J603" i="1"/>
  <c r="J599" i="1"/>
  <c r="M597" i="1"/>
  <c r="L597" i="1"/>
  <c r="J597" i="1"/>
  <c r="M535" i="1"/>
  <c r="J535" i="1"/>
  <c r="M579" i="1"/>
  <c r="J579" i="1"/>
  <c r="J587" i="1"/>
  <c r="M585" i="1"/>
  <c r="N585" i="1" s="1"/>
  <c r="O585" i="1" s="1"/>
  <c r="L585" i="1"/>
  <c r="J585" i="1"/>
  <c r="J581" i="1"/>
  <c r="L579" i="1"/>
  <c r="J574" i="1"/>
  <c r="M572" i="1"/>
  <c r="L572" i="1"/>
  <c r="J572" i="1"/>
  <c r="J567" i="1"/>
  <c r="M565" i="1"/>
  <c r="N565" i="1" s="1"/>
  <c r="O565" i="1" s="1"/>
  <c r="L565" i="1"/>
  <c r="J565" i="1"/>
  <c r="J559" i="1"/>
  <c r="M557" i="1"/>
  <c r="N557" i="1" s="1"/>
  <c r="O557" i="1" s="1"/>
  <c r="L557" i="1"/>
  <c r="J557" i="1"/>
  <c r="K557" i="1" s="1"/>
  <c r="J551" i="1"/>
  <c r="M549" i="1"/>
  <c r="L549" i="1"/>
  <c r="J549" i="1"/>
  <c r="J543" i="1"/>
  <c r="M541" i="1"/>
  <c r="L541" i="1"/>
  <c r="J541" i="1"/>
  <c r="J537" i="1"/>
  <c r="L535" i="1"/>
  <c r="J529" i="1"/>
  <c r="M527" i="1"/>
  <c r="N527" i="1" s="1"/>
  <c r="O527" i="1" s="1"/>
  <c r="L527" i="1"/>
  <c r="J527" i="1"/>
  <c r="J521" i="1"/>
  <c r="M519" i="1"/>
  <c r="L519" i="1"/>
  <c r="J519" i="1"/>
  <c r="J513" i="1"/>
  <c r="M511" i="1"/>
  <c r="L511" i="1"/>
  <c r="J511" i="1"/>
  <c r="J505" i="1"/>
  <c r="M503" i="1"/>
  <c r="L503" i="1"/>
  <c r="J503" i="1"/>
  <c r="M495" i="1"/>
  <c r="J495" i="1"/>
  <c r="L495" i="1"/>
  <c r="J49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I650" i="1"/>
  <c r="K650" i="1" s="1"/>
  <c r="F652" i="1"/>
  <c r="L652" i="1" s="1"/>
  <c r="F651" i="1"/>
  <c r="I651" i="1" s="1"/>
  <c r="I643" i="1"/>
  <c r="F645" i="1"/>
  <c r="F644" i="1"/>
  <c r="I636" i="1"/>
  <c r="F638" i="1"/>
  <c r="F637" i="1"/>
  <c r="I637" i="1" s="1"/>
  <c r="I629" i="1"/>
  <c r="K629" i="1" s="1"/>
  <c r="F631" i="1"/>
  <c r="I631" i="1" s="1"/>
  <c r="F630" i="1"/>
  <c r="I630" i="1" s="1"/>
  <c r="I622" i="1"/>
  <c r="K622" i="1" s="1"/>
  <c r="F624" i="1"/>
  <c r="I624" i="1" s="1"/>
  <c r="F623" i="1"/>
  <c r="I615" i="1"/>
  <c r="F617" i="1"/>
  <c r="I617" i="1" s="1"/>
  <c r="F616" i="1"/>
  <c r="I616" i="1" s="1"/>
  <c r="I609" i="1"/>
  <c r="N609" i="1" s="1"/>
  <c r="O609" i="1" s="1"/>
  <c r="F611" i="1"/>
  <c r="F610" i="1"/>
  <c r="I610" i="1" s="1"/>
  <c r="I603" i="1"/>
  <c r="N603" i="1" s="1"/>
  <c r="O603" i="1" s="1"/>
  <c r="F605" i="1"/>
  <c r="I605" i="1" s="1"/>
  <c r="F604" i="1"/>
  <c r="I604" i="1" s="1"/>
  <c r="I597" i="1"/>
  <c r="K597" i="1" s="1"/>
  <c r="F599" i="1"/>
  <c r="I599" i="1" s="1"/>
  <c r="F598" i="1"/>
  <c r="I598" i="1" s="1"/>
  <c r="I590" i="1"/>
  <c r="N590" i="1" s="1"/>
  <c r="O590" i="1" s="1"/>
  <c r="F592" i="1"/>
  <c r="L592" i="1" s="1"/>
  <c r="F591" i="1"/>
  <c r="L591" i="1" s="1"/>
  <c r="I585" i="1"/>
  <c r="K585" i="1" s="1"/>
  <c r="P585" i="1" s="1"/>
  <c r="Q585" i="1" s="1"/>
  <c r="F587" i="1"/>
  <c r="F586" i="1"/>
  <c r="I586" i="1" s="1"/>
  <c r="I579" i="1"/>
  <c r="K579" i="1" s="1"/>
  <c r="F581" i="1"/>
  <c r="I581" i="1" s="1"/>
  <c r="F580" i="1"/>
  <c r="I580" i="1" s="1"/>
  <c r="I572" i="1"/>
  <c r="F574" i="1"/>
  <c r="I574" i="1" s="1"/>
  <c r="F573" i="1"/>
  <c r="I573" i="1" s="1"/>
  <c r="I565" i="1"/>
  <c r="F567" i="1"/>
  <c r="F566" i="1"/>
  <c r="I557" i="1"/>
  <c r="F559" i="1"/>
  <c r="I559" i="1" s="1"/>
  <c r="F558" i="1"/>
  <c r="I549" i="1"/>
  <c r="F551" i="1"/>
  <c r="I551" i="1" s="1"/>
  <c r="F550" i="1"/>
  <c r="I550" i="1" s="1"/>
  <c r="I541" i="1"/>
  <c r="N541" i="1" s="1"/>
  <c r="O541" i="1" s="1"/>
  <c r="F543" i="1"/>
  <c r="L543" i="1" s="1"/>
  <c r="F542" i="1"/>
  <c r="I542" i="1" s="1"/>
  <c r="I535" i="1"/>
  <c r="F537" i="1"/>
  <c r="L537" i="1" s="1"/>
  <c r="F536" i="1"/>
  <c r="I536" i="1" s="1"/>
  <c r="I527" i="1"/>
  <c r="F529" i="1"/>
  <c r="I529" i="1" s="1"/>
  <c r="F528" i="1"/>
  <c r="I528" i="1" s="1"/>
  <c r="I519" i="1"/>
  <c r="K519" i="1" s="1"/>
  <c r="F521" i="1"/>
  <c r="I521" i="1" s="1"/>
  <c r="F520" i="1"/>
  <c r="I520" i="1" s="1"/>
  <c r="I511" i="1"/>
  <c r="K511" i="1" s="1"/>
  <c r="F513" i="1"/>
  <c r="I513" i="1" s="1"/>
  <c r="F512" i="1"/>
  <c r="I512" i="1" s="1"/>
  <c r="I503" i="1"/>
  <c r="K503" i="1" s="1"/>
  <c r="F505" i="1"/>
  <c r="L505" i="1" s="1"/>
  <c r="F504" i="1"/>
  <c r="I504" i="1" s="1"/>
  <c r="I495" i="1"/>
  <c r="K495" i="1" s="1"/>
  <c r="M332" i="1"/>
  <c r="L304" i="1"/>
  <c r="H304" i="1"/>
  <c r="I304" i="1" s="1"/>
  <c r="N304" i="1" s="1"/>
  <c r="M299" i="1"/>
  <c r="M284" i="1"/>
  <c r="J280" i="1"/>
  <c r="J279" i="1"/>
  <c r="J278" i="1"/>
  <c r="J277" i="1"/>
  <c r="J276" i="1"/>
  <c r="L241" i="1"/>
  <c r="L240" i="1"/>
  <c r="J241" i="1"/>
  <c r="J240" i="1"/>
  <c r="J234" i="1"/>
  <c r="L446" i="1"/>
  <c r="I446" i="1"/>
  <c r="N446" i="1" s="1"/>
  <c r="M488" i="1"/>
  <c r="M487" i="1"/>
  <c r="M486" i="1"/>
  <c r="M485" i="1"/>
  <c r="M476" i="1"/>
  <c r="M475" i="1"/>
  <c r="M472" i="1"/>
  <c r="M469" i="1"/>
  <c r="M468" i="1"/>
  <c r="M465" i="1"/>
  <c r="J488" i="1"/>
  <c r="J487" i="1"/>
  <c r="J486" i="1"/>
  <c r="J485" i="1"/>
  <c r="J476" i="1"/>
  <c r="J475" i="1"/>
  <c r="J472" i="1"/>
  <c r="J469" i="1"/>
  <c r="J468" i="1"/>
  <c r="J465" i="1"/>
  <c r="P557" i="1" l="1"/>
  <c r="Q557" i="1" s="1"/>
  <c r="N638" i="1"/>
  <c r="O638" i="1" s="1"/>
  <c r="P597" i="1"/>
  <c r="Q597" i="1" s="1"/>
  <c r="N504" i="1"/>
  <c r="L504" i="1"/>
  <c r="L512" i="1"/>
  <c r="L520" i="1"/>
  <c r="L521" i="1"/>
  <c r="L528" i="1"/>
  <c r="L529" i="1"/>
  <c r="L536" i="1"/>
  <c r="N542" i="1"/>
  <c r="O542" i="1" s="1"/>
  <c r="P542" i="1" s="1"/>
  <c r="Q542" i="1" s="1"/>
  <c r="K550" i="1"/>
  <c r="L551" i="1"/>
  <c r="K558" i="1"/>
  <c r="L559" i="1"/>
  <c r="K572" i="1"/>
  <c r="P572" i="1" s="1"/>
  <c r="Q572" i="1" s="1"/>
  <c r="L573" i="1"/>
  <c r="L574" i="1"/>
  <c r="K580" i="1"/>
  <c r="L581" i="1"/>
  <c r="N579" i="1"/>
  <c r="O579" i="1" s="1"/>
  <c r="L598" i="1"/>
  <c r="N599" i="1"/>
  <c r="O599" i="1" s="1"/>
  <c r="N604" i="1"/>
  <c r="K616" i="1"/>
  <c r="L617" i="1"/>
  <c r="N622" i="1"/>
  <c r="O622" i="1" s="1"/>
  <c r="K624" i="1"/>
  <c r="N629" i="1"/>
  <c r="O629" i="1" s="1"/>
  <c r="P629" i="1" s="1"/>
  <c r="Q629" i="1" s="1"/>
  <c r="K631" i="1"/>
  <c r="K643" i="1"/>
  <c r="N505" i="1"/>
  <c r="O505" i="1" s="1"/>
  <c r="K513" i="1"/>
  <c r="N520" i="1"/>
  <c r="N521" i="1"/>
  <c r="O521" i="1" s="1"/>
  <c r="P521" i="1" s="1"/>
  <c r="Q521" i="1" s="1"/>
  <c r="N528" i="1"/>
  <c r="N529" i="1"/>
  <c r="O529" i="1" s="1"/>
  <c r="N536" i="1"/>
  <c r="O536" i="1" s="1"/>
  <c r="K541" i="1"/>
  <c r="P541" i="1" s="1"/>
  <c r="Q541" i="1" s="1"/>
  <c r="K549" i="1"/>
  <c r="L550" i="1"/>
  <c r="N551" i="1"/>
  <c r="O551" i="1" s="1"/>
  <c r="L558" i="1"/>
  <c r="N559" i="1"/>
  <c r="L566" i="1"/>
  <c r="L567" i="1"/>
  <c r="N573" i="1"/>
  <c r="O573" i="1" s="1"/>
  <c r="N574" i="1"/>
  <c r="O574" i="1" s="1"/>
  <c r="L580" i="1"/>
  <c r="N581" i="1"/>
  <c r="O581" i="1" s="1"/>
  <c r="K586" i="1"/>
  <c r="L587" i="1"/>
  <c r="K535" i="1"/>
  <c r="N598" i="1"/>
  <c r="K603" i="1"/>
  <c r="P603" i="1" s="1"/>
  <c r="Q603" i="1" s="1"/>
  <c r="K605" i="1"/>
  <c r="K609" i="1"/>
  <c r="K610" i="1"/>
  <c r="L611" i="1"/>
  <c r="L616" i="1"/>
  <c r="N617" i="1"/>
  <c r="O617" i="1" s="1"/>
  <c r="L624" i="1"/>
  <c r="K615" i="1"/>
  <c r="K630" i="1"/>
  <c r="L631" i="1"/>
  <c r="K637" i="1"/>
  <c r="L645" i="1"/>
  <c r="N512" i="1"/>
  <c r="O512" i="1" s="1"/>
  <c r="P512" i="1" s="1"/>
  <c r="Q512" i="1" s="1"/>
  <c r="N503" i="1"/>
  <c r="O503" i="1" s="1"/>
  <c r="N511" i="1"/>
  <c r="O511" i="1" s="1"/>
  <c r="P511" i="1" s="1"/>
  <c r="Q511" i="1" s="1"/>
  <c r="L513" i="1"/>
  <c r="N519" i="1"/>
  <c r="O519" i="1" s="1"/>
  <c r="P519" i="1" s="1"/>
  <c r="Q519" i="1" s="1"/>
  <c r="K527" i="1"/>
  <c r="P527" i="1" s="1"/>
  <c r="Q527" i="1" s="1"/>
  <c r="K542" i="1"/>
  <c r="K543" i="1"/>
  <c r="N550" i="1"/>
  <c r="O550" i="1" s="1"/>
  <c r="O559" i="1"/>
  <c r="N572" i="1"/>
  <c r="O572" i="1" s="1"/>
  <c r="N580" i="1"/>
  <c r="O580" i="1" s="1"/>
  <c r="P580" i="1" s="1"/>
  <c r="Q580" i="1" s="1"/>
  <c r="L586" i="1"/>
  <c r="N535" i="1"/>
  <c r="O535" i="1" s="1"/>
  <c r="P535" i="1" s="1"/>
  <c r="Q535" i="1" s="1"/>
  <c r="N597" i="1"/>
  <c r="O597" i="1" s="1"/>
  <c r="K599" i="1"/>
  <c r="K604" i="1"/>
  <c r="L605" i="1"/>
  <c r="L610" i="1"/>
  <c r="N616" i="1"/>
  <c r="L623" i="1"/>
  <c r="N624" i="1"/>
  <c r="L630" i="1"/>
  <c r="N631" i="1"/>
  <c r="O631" i="1" s="1"/>
  <c r="L637" i="1"/>
  <c r="L638" i="1"/>
  <c r="L644" i="1"/>
  <c r="N636" i="1"/>
  <c r="O636" i="1" s="1"/>
  <c r="P636" i="1" s="1"/>
  <c r="Q636" i="1" s="1"/>
  <c r="L651" i="1"/>
  <c r="N513" i="1"/>
  <c r="O513" i="1" s="1"/>
  <c r="P513" i="1" s="1"/>
  <c r="Q513" i="1" s="1"/>
  <c r="K504" i="1"/>
  <c r="K512" i="1"/>
  <c r="K520" i="1"/>
  <c r="K521" i="1"/>
  <c r="K528" i="1"/>
  <c r="K529" i="1"/>
  <c r="P529" i="1" s="1"/>
  <c r="Q529" i="1" s="1"/>
  <c r="K536" i="1"/>
  <c r="L542" i="1"/>
  <c r="N549" i="1"/>
  <c r="O549" i="1" s="1"/>
  <c r="K551" i="1"/>
  <c r="P551" i="1" s="1"/>
  <c r="Q551" i="1" s="1"/>
  <c r="K559" i="1"/>
  <c r="P559" i="1" s="1"/>
  <c r="Q559" i="1" s="1"/>
  <c r="K565" i="1"/>
  <c r="P565" i="1" s="1"/>
  <c r="Q565" i="1" s="1"/>
  <c r="K573" i="1"/>
  <c r="K574" i="1"/>
  <c r="K581" i="1"/>
  <c r="N586" i="1"/>
  <c r="K598" i="1"/>
  <c r="L599" i="1"/>
  <c r="L604" i="1"/>
  <c r="N605" i="1"/>
  <c r="O605" i="1" s="1"/>
  <c r="N610" i="1"/>
  <c r="O610" i="1" s="1"/>
  <c r="P610" i="1" s="1"/>
  <c r="Q610" i="1" s="1"/>
  <c r="K617" i="1"/>
  <c r="N615" i="1"/>
  <c r="O615" i="1" s="1"/>
  <c r="N630" i="1"/>
  <c r="N637" i="1"/>
  <c r="N643" i="1"/>
  <c r="O643" i="1" s="1"/>
  <c r="P643" i="1" s="1"/>
  <c r="Q643" i="1" s="1"/>
  <c r="H303" i="1"/>
  <c r="I303" i="1" s="1"/>
  <c r="N303" i="1" s="1"/>
  <c r="O303" i="1" s="1"/>
  <c r="P622" i="1"/>
  <c r="Q622" i="1" s="1"/>
  <c r="P617" i="1"/>
  <c r="Q617" i="1" s="1"/>
  <c r="P609" i="1"/>
  <c r="Q609" i="1" s="1"/>
  <c r="P579" i="1"/>
  <c r="Q579" i="1" s="1"/>
  <c r="P574" i="1"/>
  <c r="Q574" i="1" s="1"/>
  <c r="P549" i="1"/>
  <c r="Q549" i="1" s="1"/>
  <c r="P503" i="1"/>
  <c r="Q503" i="1" s="1"/>
  <c r="I652" i="1"/>
  <c r="K652" i="1" s="1"/>
  <c r="N651" i="1"/>
  <c r="O651" i="1" s="1"/>
  <c r="K651" i="1"/>
  <c r="N650" i="1"/>
  <c r="O650" i="1" s="1"/>
  <c r="P650" i="1" s="1"/>
  <c r="Q650" i="1" s="1"/>
  <c r="I645" i="1"/>
  <c r="N645" i="1" s="1"/>
  <c r="O645" i="1" s="1"/>
  <c r="I644" i="1"/>
  <c r="N644" i="1" s="1"/>
  <c r="I638" i="1"/>
  <c r="K638" i="1" s="1"/>
  <c r="P638" i="1" s="1"/>
  <c r="Q638" i="1" s="1"/>
  <c r="I623" i="1"/>
  <c r="N623" i="1" s="1"/>
  <c r="I611" i="1"/>
  <c r="N611" i="1" s="1"/>
  <c r="O611" i="1" s="1"/>
  <c r="I591" i="1"/>
  <c r="N591" i="1" s="1"/>
  <c r="O591" i="1" s="1"/>
  <c r="I592" i="1"/>
  <c r="K592" i="1" s="1"/>
  <c r="K590" i="1"/>
  <c r="P590" i="1" s="1"/>
  <c r="Q590" i="1" s="1"/>
  <c r="I587" i="1"/>
  <c r="N587" i="1" s="1"/>
  <c r="O587" i="1" s="1"/>
  <c r="I567" i="1"/>
  <c r="K567" i="1" s="1"/>
  <c r="I566" i="1"/>
  <c r="N566" i="1" s="1"/>
  <c r="O566" i="1" s="1"/>
  <c r="I558" i="1"/>
  <c r="N558" i="1" s="1"/>
  <c r="O558" i="1" s="1"/>
  <c r="P558" i="1" s="1"/>
  <c r="Q558" i="1" s="1"/>
  <c r="I543" i="1"/>
  <c r="N543" i="1" s="1"/>
  <c r="O543" i="1" s="1"/>
  <c r="I537" i="1"/>
  <c r="K537" i="1" s="1"/>
  <c r="I505" i="1"/>
  <c r="K505" i="1" s="1"/>
  <c r="P505" i="1" s="1"/>
  <c r="Q505" i="1" s="1"/>
  <c r="K304" i="1"/>
  <c r="N495" i="1"/>
  <c r="O495" i="1" s="1"/>
  <c r="P495" i="1" s="1"/>
  <c r="Q495" i="1" s="1"/>
  <c r="O446" i="1"/>
  <c r="O304" i="1"/>
  <c r="K446" i="1"/>
  <c r="L742" i="1"/>
  <c r="L716" i="1"/>
  <c r="L711" i="1"/>
  <c r="L679" i="1"/>
  <c r="L680" i="1"/>
  <c r="L506" i="1"/>
  <c r="C19" i="2"/>
  <c r="I228" i="1"/>
  <c r="N228" i="1" s="1"/>
  <c r="F434" i="1"/>
  <c r="F375" i="1"/>
  <c r="F312" i="1"/>
  <c r="I393" i="1"/>
  <c r="F237" i="1"/>
  <c r="H389" i="1"/>
  <c r="I389" i="1" s="1"/>
  <c r="H388" i="1"/>
  <c r="I388" i="1" s="1"/>
  <c r="F385" i="1"/>
  <c r="I385" i="1" s="1"/>
  <c r="I382" i="1"/>
  <c r="F397" i="1"/>
  <c r="I460" i="1"/>
  <c r="F457" i="1"/>
  <c r="F456" i="1"/>
  <c r="F459" i="1"/>
  <c r="I459" i="1" s="1"/>
  <c r="F458" i="1"/>
  <c r="I458" i="1" s="1"/>
  <c r="I455" i="1"/>
  <c r="F379" i="1"/>
  <c r="H360" i="1"/>
  <c r="I360" i="1" s="1"/>
  <c r="H359" i="1"/>
  <c r="I359" i="1" s="1"/>
  <c r="H371" i="1"/>
  <c r="I371" i="1" s="1"/>
  <c r="H367" i="1"/>
  <c r="I367" i="1" s="1"/>
  <c r="F366" i="1"/>
  <c r="F365" i="1"/>
  <c r="F364" i="1"/>
  <c r="H356" i="1"/>
  <c r="I356" i="1" s="1"/>
  <c r="H352" i="1"/>
  <c r="I352" i="1" s="1"/>
  <c r="H349" i="1"/>
  <c r="I349" i="1" s="1"/>
  <c r="H346" i="1"/>
  <c r="I346" i="1" s="1"/>
  <c r="H343" i="1"/>
  <c r="I343" i="1" s="1"/>
  <c r="H342" i="1"/>
  <c r="I342" i="1" s="1"/>
  <c r="H339" i="1"/>
  <c r="I339" i="1" s="1"/>
  <c r="H338" i="1"/>
  <c r="I338" i="1" s="1"/>
  <c r="F332" i="1"/>
  <c r="F328" i="1"/>
  <c r="I322" i="1"/>
  <c r="I321" i="1"/>
  <c r="F325" i="1"/>
  <c r="I318" i="1"/>
  <c r="I409" i="1"/>
  <c r="F313" i="1"/>
  <c r="I309" i="1"/>
  <c r="I308" i="1"/>
  <c r="I307" i="1"/>
  <c r="F298" i="1"/>
  <c r="F299" i="1" s="1"/>
  <c r="H295" i="1"/>
  <c r="I295" i="1" s="1"/>
  <c r="H294" i="1"/>
  <c r="I294" i="1" s="1"/>
  <c r="H293" i="1"/>
  <c r="I293" i="1" s="1"/>
  <c r="H290" i="1"/>
  <c r="I290" i="1" s="1"/>
  <c r="H289" i="1"/>
  <c r="I289" i="1" s="1"/>
  <c r="F283" i="1"/>
  <c r="F284" i="1" s="1"/>
  <c r="F285" i="1" s="1"/>
  <c r="P567" i="1" l="1"/>
  <c r="Q567" i="1" s="1"/>
  <c r="P581" i="1"/>
  <c r="Q581" i="1" s="1"/>
  <c r="N567" i="1"/>
  <c r="O567" i="1" s="1"/>
  <c r="K623" i="1"/>
  <c r="P536" i="1"/>
  <c r="Q536" i="1" s="1"/>
  <c r="K611" i="1"/>
  <c r="P611" i="1" s="1"/>
  <c r="Q611" i="1" s="1"/>
  <c r="O598" i="1"/>
  <c r="P598" i="1" s="1"/>
  <c r="Q598" i="1" s="1"/>
  <c r="N537" i="1"/>
  <c r="O537" i="1" s="1"/>
  <c r="P537" i="1" s="1"/>
  <c r="Q537" i="1" s="1"/>
  <c r="O637" i="1"/>
  <c r="P637" i="1" s="1"/>
  <c r="Q637" i="1" s="1"/>
  <c r="P573" i="1"/>
  <c r="Q573" i="1" s="1"/>
  <c r="O644" i="1"/>
  <c r="O630" i="1"/>
  <c r="P630" i="1" s="1"/>
  <c r="Q630" i="1" s="1"/>
  <c r="P599" i="1"/>
  <c r="Q599" i="1" s="1"/>
  <c r="K644" i="1"/>
  <c r="K645" i="1"/>
  <c r="P645" i="1" s="1"/>
  <c r="Q645" i="1" s="1"/>
  <c r="K566" i="1"/>
  <c r="P566" i="1" s="1"/>
  <c r="Q566" i="1" s="1"/>
  <c r="P550" i="1"/>
  <c r="Q550" i="1" s="1"/>
  <c r="O520" i="1"/>
  <c r="P520" i="1" s="1"/>
  <c r="Q520" i="1" s="1"/>
  <c r="O504" i="1"/>
  <c r="P504" i="1" s="1"/>
  <c r="Q504" i="1" s="1"/>
  <c r="O623" i="1"/>
  <c r="P623" i="1" s="1"/>
  <c r="Q623" i="1" s="1"/>
  <c r="P543" i="1"/>
  <c r="Q543" i="1" s="1"/>
  <c r="O586" i="1"/>
  <c r="P586" i="1" s="1"/>
  <c r="Q586" i="1" s="1"/>
  <c r="O624" i="1"/>
  <c r="P624" i="1" s="1"/>
  <c r="Q624" i="1" s="1"/>
  <c r="P615" i="1"/>
  <c r="Q615" i="1" s="1"/>
  <c r="O616" i="1"/>
  <c r="P616" i="1" s="1"/>
  <c r="Q616" i="1" s="1"/>
  <c r="P605" i="1"/>
  <c r="Q605" i="1" s="1"/>
  <c r="O528" i="1"/>
  <c r="P528" i="1" s="1"/>
  <c r="Q528" i="1" s="1"/>
  <c r="P631" i="1"/>
  <c r="Q631" i="1" s="1"/>
  <c r="O604" i="1"/>
  <c r="P604" i="1" s="1"/>
  <c r="Q604" i="1" s="1"/>
  <c r="K587" i="1"/>
  <c r="P587" i="1" s="1"/>
  <c r="Q587" i="1" s="1"/>
  <c r="K303" i="1"/>
  <c r="P303" i="1" s="1"/>
  <c r="Q303" i="1" s="1"/>
  <c r="P651" i="1"/>
  <c r="Q651" i="1" s="1"/>
  <c r="N652" i="1"/>
  <c r="O652" i="1" s="1"/>
  <c r="P652" i="1" s="1"/>
  <c r="Q652" i="1" s="1"/>
  <c r="N592" i="1"/>
  <c r="O592" i="1" s="1"/>
  <c r="P592" i="1" s="1"/>
  <c r="Q592" i="1" s="1"/>
  <c r="K591" i="1"/>
  <c r="P591" i="1" s="1"/>
  <c r="Q591" i="1" s="1"/>
  <c r="P304" i="1"/>
  <c r="Q304" i="1" s="1"/>
  <c r="P446" i="1"/>
  <c r="Q446" i="1" s="1"/>
  <c r="I457" i="1"/>
  <c r="K457" i="1" s="1"/>
  <c r="L457" i="1"/>
  <c r="L328" i="1"/>
  <c r="K228" i="1"/>
  <c r="N389" i="1"/>
  <c r="H375" i="1"/>
  <c r="I375" i="1" s="1"/>
  <c r="F376" i="1"/>
  <c r="I312" i="1"/>
  <c r="N312" i="1" s="1"/>
  <c r="N385" i="1"/>
  <c r="H237" i="1"/>
  <c r="I237" i="1" s="1"/>
  <c r="N237" i="1" s="1"/>
  <c r="N455" i="1"/>
  <c r="N393" i="1"/>
  <c r="K393" i="1"/>
  <c r="K455" i="1"/>
  <c r="K388" i="1"/>
  <c r="N388" i="1"/>
  <c r="K385" i="1"/>
  <c r="K389" i="1"/>
  <c r="N459" i="1"/>
  <c r="N460" i="1"/>
  <c r="K460" i="1"/>
  <c r="K382" i="1"/>
  <c r="N382" i="1"/>
  <c r="I456" i="1"/>
  <c r="K459" i="1"/>
  <c r="N458" i="1"/>
  <c r="K458" i="1"/>
  <c r="K360" i="1"/>
  <c r="N359" i="1"/>
  <c r="H379" i="1"/>
  <c r="I379" i="1" s="1"/>
  <c r="N379" i="1" s="1"/>
  <c r="N352" i="1"/>
  <c r="N360" i="1"/>
  <c r="K359" i="1"/>
  <c r="H364" i="1"/>
  <c r="I364" i="1" s="1"/>
  <c r="N356" i="1"/>
  <c r="N349" i="1"/>
  <c r="H366" i="1"/>
  <c r="I366" i="1" s="1"/>
  <c r="N366" i="1" s="1"/>
  <c r="H365" i="1"/>
  <c r="I365" i="1" s="1"/>
  <c r="K365" i="1" s="1"/>
  <c r="N371" i="1"/>
  <c r="K371" i="1"/>
  <c r="K367" i="1"/>
  <c r="N367" i="1"/>
  <c r="N338" i="1"/>
  <c r="K342" i="1"/>
  <c r="K338" i="1"/>
  <c r="K356" i="1"/>
  <c r="K346" i="1"/>
  <c r="N346" i="1"/>
  <c r="K352" i="1"/>
  <c r="K349" i="1"/>
  <c r="N342" i="1"/>
  <c r="N343" i="1"/>
  <c r="K343" i="1"/>
  <c r="N339" i="1"/>
  <c r="K339" i="1"/>
  <c r="F333" i="1"/>
  <c r="H332" i="1"/>
  <c r="I332" i="1" s="1"/>
  <c r="I328" i="1"/>
  <c r="N328" i="1" s="1"/>
  <c r="K322" i="1"/>
  <c r="K318" i="1"/>
  <c r="K321" i="1"/>
  <c r="I325" i="1"/>
  <c r="N325" i="1" s="1"/>
  <c r="N321" i="1"/>
  <c r="N318" i="1"/>
  <c r="N322" i="1"/>
  <c r="N409" i="1"/>
  <c r="K409" i="1"/>
  <c r="I313" i="1"/>
  <c r="N313" i="1" s="1"/>
  <c r="K309" i="1"/>
  <c r="K307" i="1"/>
  <c r="N307" i="1"/>
  <c r="K308" i="1"/>
  <c r="N308" i="1"/>
  <c r="N309" i="1"/>
  <c r="F300" i="1"/>
  <c r="H299" i="1"/>
  <c r="I299" i="1" s="1"/>
  <c r="H284" i="1"/>
  <c r="I284" i="1" s="1"/>
  <c r="H285" i="1"/>
  <c r="I285" i="1" s="1"/>
  <c r="N285" i="1" s="1"/>
  <c r="N293" i="1"/>
  <c r="K293" i="1"/>
  <c r="K294" i="1"/>
  <c r="N294" i="1"/>
  <c r="K295" i="1"/>
  <c r="N295" i="1"/>
  <c r="K289" i="1"/>
  <c r="N289" i="1"/>
  <c r="N290" i="1"/>
  <c r="K290" i="1"/>
  <c r="P644" i="1" l="1"/>
  <c r="Q644" i="1" s="1"/>
  <c r="N457" i="1"/>
  <c r="K328" i="1"/>
  <c r="K312" i="1"/>
  <c r="K375" i="1"/>
  <c r="H376" i="1"/>
  <c r="I376" i="1" s="1"/>
  <c r="N375" i="1"/>
  <c r="K237" i="1"/>
  <c r="N456" i="1"/>
  <c r="K456" i="1"/>
  <c r="K379" i="1"/>
  <c r="K364" i="1"/>
  <c r="K366" i="1"/>
  <c r="N364" i="1"/>
  <c r="N365" i="1"/>
  <c r="K325" i="1"/>
  <c r="N332" i="1"/>
  <c r="K332" i="1"/>
  <c r="H333" i="1"/>
  <c r="I333" i="1" s="1"/>
  <c r="K285" i="1"/>
  <c r="K313" i="1"/>
  <c r="K299" i="1"/>
  <c r="N299" i="1"/>
  <c r="H300" i="1"/>
  <c r="I300" i="1" s="1"/>
  <c r="K284" i="1"/>
  <c r="N284" i="1"/>
  <c r="K376" i="1" l="1"/>
  <c r="N376" i="1"/>
  <c r="K333" i="1"/>
  <c r="N333" i="1"/>
  <c r="N300" i="1"/>
  <c r="K300" i="1"/>
  <c r="H280" i="1" l="1"/>
  <c r="I280" i="1" s="1"/>
  <c r="H279" i="1"/>
  <c r="I279" i="1" s="1"/>
  <c r="H278" i="1"/>
  <c r="I278" i="1" s="1"/>
  <c r="H277" i="1"/>
  <c r="I277" i="1" s="1"/>
  <c r="H276" i="1"/>
  <c r="I276" i="1" s="1"/>
  <c r="H272" i="1"/>
  <c r="I272" i="1" s="1"/>
  <c r="H271" i="1"/>
  <c r="I271" i="1" s="1"/>
  <c r="H270" i="1"/>
  <c r="I270" i="1" s="1"/>
  <c r="H269" i="1"/>
  <c r="I269" i="1" s="1"/>
  <c r="H266" i="1"/>
  <c r="I266" i="1" s="1"/>
  <c r="H262" i="1"/>
  <c r="I262" i="1" s="1"/>
  <c r="H261" i="1"/>
  <c r="I261" i="1" s="1"/>
  <c r="H260" i="1"/>
  <c r="I260" i="1" s="1"/>
  <c r="H259" i="1"/>
  <c r="I259" i="1" s="1"/>
  <c r="H258" i="1"/>
  <c r="I258" i="1" s="1"/>
  <c r="H255" i="1"/>
  <c r="I255" i="1" s="1"/>
  <c r="H252" i="1"/>
  <c r="I252" i="1" s="1"/>
  <c r="H249" i="1"/>
  <c r="I249" i="1" s="1"/>
  <c r="F394" i="1"/>
  <c r="I425" i="1"/>
  <c r="I422" i="1"/>
  <c r="I419" i="1"/>
  <c r="I416" i="1"/>
  <c r="I415" i="1"/>
  <c r="I414" i="1"/>
  <c r="I413" i="1"/>
  <c r="I408" i="1"/>
  <c r="F435" i="1"/>
  <c r="F436" i="1" s="1"/>
  <c r="I453" i="1"/>
  <c r="F449" i="1"/>
  <c r="I406" i="1"/>
  <c r="I407" i="1"/>
  <c r="F402" i="1"/>
  <c r="F401" i="1"/>
  <c r="I405" i="1"/>
  <c r="F208" i="1"/>
  <c r="I208" i="1" s="1"/>
  <c r="F207" i="1"/>
  <c r="I209" i="1"/>
  <c r="I486" i="1"/>
  <c r="I487" i="1"/>
  <c r="I488" i="1"/>
  <c r="I485" i="1"/>
  <c r="F482" i="1"/>
  <c r="Q743" i="1"/>
  <c r="P743" i="1"/>
  <c r="O743" i="1"/>
  <c r="N743" i="1"/>
  <c r="M743" i="1"/>
  <c r="L743" i="1"/>
  <c r="K743" i="1"/>
  <c r="J743" i="1"/>
  <c r="I743" i="1"/>
  <c r="H743" i="1"/>
  <c r="H742" i="1"/>
  <c r="I742" i="1" s="1"/>
  <c r="I737" i="1"/>
  <c r="K737" i="1" s="1"/>
  <c r="I734" i="1"/>
  <c r="I733" i="1"/>
  <c r="Q732" i="1"/>
  <c r="P732" i="1"/>
  <c r="O732" i="1"/>
  <c r="N732" i="1"/>
  <c r="M732" i="1"/>
  <c r="L732" i="1"/>
  <c r="K732" i="1"/>
  <c r="J732" i="1"/>
  <c r="I732" i="1"/>
  <c r="H732" i="1"/>
  <c r="L401" i="1" l="1"/>
  <c r="I402" i="1"/>
  <c r="K402" i="1" s="1"/>
  <c r="L402" i="1"/>
  <c r="I394" i="1"/>
  <c r="N277" i="1"/>
  <c r="N276" i="1"/>
  <c r="N278" i="1"/>
  <c r="K279" i="1"/>
  <c r="K278" i="1"/>
  <c r="K271" i="1"/>
  <c r="N279" i="1"/>
  <c r="K280" i="1"/>
  <c r="K276" i="1"/>
  <c r="N270" i="1"/>
  <c r="N280" i="1"/>
  <c r="K277" i="1"/>
  <c r="N272" i="1"/>
  <c r="K269" i="1"/>
  <c r="K270" i="1"/>
  <c r="N271" i="1"/>
  <c r="K272" i="1"/>
  <c r="N269" i="1"/>
  <c r="N259" i="1"/>
  <c r="K260" i="1"/>
  <c r="K266" i="1"/>
  <c r="N252" i="1"/>
  <c r="N266" i="1"/>
  <c r="N255" i="1"/>
  <c r="N260" i="1"/>
  <c r="N249" i="1"/>
  <c r="K258" i="1"/>
  <c r="K262" i="1"/>
  <c r="K261" i="1"/>
  <c r="N261" i="1"/>
  <c r="K259" i="1"/>
  <c r="N258" i="1"/>
  <c r="N262" i="1"/>
  <c r="K255" i="1"/>
  <c r="K252" i="1"/>
  <c r="K249" i="1"/>
  <c r="K419" i="1"/>
  <c r="K413" i="1"/>
  <c r="N422" i="1"/>
  <c r="K422" i="1"/>
  <c r="K416" i="1"/>
  <c r="K425" i="1"/>
  <c r="N425" i="1"/>
  <c r="N414" i="1"/>
  <c r="K415" i="1"/>
  <c r="N413" i="1"/>
  <c r="N415" i="1"/>
  <c r="N419" i="1"/>
  <c r="K414" i="1"/>
  <c r="N416" i="1"/>
  <c r="K408" i="1"/>
  <c r="N408" i="1"/>
  <c r="K453" i="1"/>
  <c r="I436" i="1"/>
  <c r="K406" i="1"/>
  <c r="N453" i="1"/>
  <c r="N407" i="1"/>
  <c r="K405" i="1"/>
  <c r="N405" i="1"/>
  <c r="N406" i="1"/>
  <c r="K407" i="1"/>
  <c r="I207" i="1"/>
  <c r="K208" i="1"/>
  <c r="K209" i="1"/>
  <c r="K485" i="1"/>
  <c r="N209" i="1"/>
  <c r="N208" i="1"/>
  <c r="N487" i="1"/>
  <c r="N485" i="1"/>
  <c r="N488" i="1"/>
  <c r="K488" i="1"/>
  <c r="K487" i="1"/>
  <c r="N486" i="1"/>
  <c r="K486" i="1"/>
  <c r="K733" i="1"/>
  <c r="N742" i="1"/>
  <c r="P744" i="1" s="1"/>
  <c r="K742" i="1"/>
  <c r="J744" i="1" s="1"/>
  <c r="D19" i="2" s="1"/>
  <c r="N733" i="1"/>
  <c r="N734" i="1"/>
  <c r="N737" i="1"/>
  <c r="K734" i="1"/>
  <c r="N402" i="1" l="1"/>
  <c r="N394" i="1"/>
  <c r="K394" i="1"/>
  <c r="N436" i="1"/>
  <c r="K436" i="1"/>
  <c r="K207" i="1"/>
  <c r="N207" i="1"/>
  <c r="I730" i="1" l="1"/>
  <c r="H839" i="1"/>
  <c r="I839" i="1" s="1"/>
  <c r="H840" i="1"/>
  <c r="I840" i="1" s="1"/>
  <c r="H841" i="1"/>
  <c r="I841" i="1" s="1"/>
  <c r="H842" i="1"/>
  <c r="I842" i="1" s="1"/>
  <c r="I834" i="1"/>
  <c r="I801" i="1"/>
  <c r="I800" i="1"/>
  <c r="I790" i="1"/>
  <c r="N790" i="1" s="1"/>
  <c r="H787" i="1"/>
  <c r="I787" i="1" s="1"/>
  <c r="N787" i="1" s="1"/>
  <c r="H786" i="1"/>
  <c r="I786" i="1" s="1"/>
  <c r="N786" i="1" s="1"/>
  <c r="Q785" i="1"/>
  <c r="P785" i="1"/>
  <c r="O785" i="1"/>
  <c r="N785" i="1"/>
  <c r="L785" i="1"/>
  <c r="K785" i="1"/>
  <c r="J785" i="1"/>
  <c r="I785" i="1"/>
  <c r="H785" i="1"/>
  <c r="H783" i="1"/>
  <c r="I783" i="1" s="1"/>
  <c r="N783" i="1" s="1"/>
  <c r="H782" i="1"/>
  <c r="I782" i="1" s="1"/>
  <c r="N782" i="1" s="1"/>
  <c r="H779" i="1"/>
  <c r="I779" i="1" s="1"/>
  <c r="N779" i="1" s="1"/>
  <c r="H774" i="1"/>
  <c r="I774" i="1" s="1"/>
  <c r="H775" i="1"/>
  <c r="I775" i="1" s="1"/>
  <c r="N775" i="1" s="1"/>
  <c r="H776" i="1"/>
  <c r="I776" i="1" s="1"/>
  <c r="N776" i="1" s="1"/>
  <c r="I691" i="1"/>
  <c r="I692" i="1"/>
  <c r="F693" i="1"/>
  <c r="I693" i="1" s="1"/>
  <c r="I684" i="1"/>
  <c r="I683" i="1"/>
  <c r="I675" i="1"/>
  <c r="I674" i="1"/>
  <c r="I679" i="1"/>
  <c r="K679" i="1" s="1"/>
  <c r="I680" i="1"/>
  <c r="K680" i="1" s="1"/>
  <c r="F665" i="1"/>
  <c r="F664" i="1"/>
  <c r="F663" i="1"/>
  <c r="I659" i="1"/>
  <c r="I660" i="1"/>
  <c r="I661" i="1"/>
  <c r="F657" i="1"/>
  <c r="F647" i="1"/>
  <c r="F646" i="1"/>
  <c r="F626" i="1"/>
  <c r="F625" i="1"/>
  <c r="F618" i="1"/>
  <c r="F654" i="1"/>
  <c r="F653" i="1"/>
  <c r="F612" i="1"/>
  <c r="F606" i="1"/>
  <c r="F600" i="1"/>
  <c r="F640" i="1"/>
  <c r="F639" i="1"/>
  <c r="F593" i="1"/>
  <c r="I593" i="1" s="1"/>
  <c r="F594" i="1"/>
  <c r="F582" i="1"/>
  <c r="F633" i="1"/>
  <c r="F632" i="1"/>
  <c r="F523" i="1"/>
  <c r="F522" i="1"/>
  <c r="F515" i="1"/>
  <c r="F514" i="1"/>
  <c r="F576" i="1"/>
  <c r="F575" i="1"/>
  <c r="F569" i="1"/>
  <c r="F568" i="1"/>
  <c r="F562" i="1"/>
  <c r="F561" i="1"/>
  <c r="F560" i="1"/>
  <c r="F508" i="1"/>
  <c r="F507" i="1"/>
  <c r="I506" i="1"/>
  <c r="N506" i="1" s="1"/>
  <c r="F494" i="1"/>
  <c r="F531" i="1"/>
  <c r="F553" i="1"/>
  <c r="F552" i="1"/>
  <c r="F554" i="1"/>
  <c r="F544" i="1"/>
  <c r="F546" i="1"/>
  <c r="F545" i="1"/>
  <c r="F538" i="1"/>
  <c r="F532" i="1"/>
  <c r="F530" i="1"/>
  <c r="F225" i="1"/>
  <c r="I221" i="1"/>
  <c r="Q220" i="1"/>
  <c r="P220" i="1"/>
  <c r="O220" i="1"/>
  <c r="N220" i="1"/>
  <c r="M220" i="1"/>
  <c r="L220" i="1"/>
  <c r="K220" i="1"/>
  <c r="J220" i="1"/>
  <c r="I220" i="1"/>
  <c r="H220" i="1"/>
  <c r="Q219" i="1"/>
  <c r="P219" i="1"/>
  <c r="O219" i="1"/>
  <c r="N219" i="1"/>
  <c r="M219" i="1"/>
  <c r="L219" i="1"/>
  <c r="K219" i="1"/>
  <c r="J219" i="1"/>
  <c r="I219" i="1"/>
  <c r="H219" i="1"/>
  <c r="I218" i="1"/>
  <c r="F215" i="1"/>
  <c r="F101" i="1"/>
  <c r="I101" i="1" s="1"/>
  <c r="F100" i="1"/>
  <c r="I100" i="1" s="1"/>
  <c r="F99" i="1"/>
  <c r="F98" i="1"/>
  <c r="F196" i="1"/>
  <c r="F199" i="1"/>
  <c r="I199" i="1" s="1"/>
  <c r="F198" i="1"/>
  <c r="F197" i="1"/>
  <c r="J197" i="1" s="1"/>
  <c r="F192" i="1"/>
  <c r="F191" i="1"/>
  <c r="F190" i="1"/>
  <c r="F189" i="1"/>
  <c r="Q194" i="1"/>
  <c r="P194" i="1"/>
  <c r="O194" i="1"/>
  <c r="N194" i="1"/>
  <c r="M194" i="1"/>
  <c r="L194" i="1"/>
  <c r="K194" i="1"/>
  <c r="J194" i="1"/>
  <c r="I194" i="1"/>
  <c r="H194" i="1"/>
  <c r="Q193" i="1"/>
  <c r="P193" i="1"/>
  <c r="O193" i="1"/>
  <c r="N193" i="1"/>
  <c r="M193" i="1"/>
  <c r="L193" i="1"/>
  <c r="K193" i="1"/>
  <c r="J193" i="1"/>
  <c r="I193" i="1"/>
  <c r="H193" i="1"/>
  <c r="Q187" i="1"/>
  <c r="P187" i="1"/>
  <c r="O187" i="1"/>
  <c r="N187" i="1"/>
  <c r="M187" i="1"/>
  <c r="L187" i="1"/>
  <c r="K187" i="1"/>
  <c r="J187" i="1"/>
  <c r="I187" i="1"/>
  <c r="H187" i="1"/>
  <c r="F186" i="1"/>
  <c r="F185" i="1"/>
  <c r="F184" i="1"/>
  <c r="F183" i="1"/>
  <c r="I183" i="1" s="1"/>
  <c r="F179" i="1"/>
  <c r="Q181" i="1"/>
  <c r="P181" i="1"/>
  <c r="O181" i="1"/>
  <c r="N181" i="1"/>
  <c r="M181" i="1"/>
  <c r="L181" i="1"/>
  <c r="K181" i="1"/>
  <c r="J181" i="1"/>
  <c r="I181" i="1"/>
  <c r="H181" i="1"/>
  <c r="Q180" i="1"/>
  <c r="P180" i="1"/>
  <c r="O180" i="1"/>
  <c r="N180" i="1"/>
  <c r="M180" i="1"/>
  <c r="L180" i="1"/>
  <c r="K180" i="1"/>
  <c r="J180" i="1"/>
  <c r="I180" i="1"/>
  <c r="H180" i="1"/>
  <c r="Q178" i="1"/>
  <c r="P178" i="1"/>
  <c r="O178" i="1"/>
  <c r="N178" i="1"/>
  <c r="M178" i="1"/>
  <c r="L178" i="1"/>
  <c r="K178" i="1"/>
  <c r="J178" i="1"/>
  <c r="I178" i="1"/>
  <c r="H178" i="1"/>
  <c r="F828" i="1"/>
  <c r="F827" i="1"/>
  <c r="F826" i="1"/>
  <c r="F825" i="1"/>
  <c r="F824" i="1"/>
  <c r="F821" i="1"/>
  <c r="F820" i="1"/>
  <c r="F819" i="1"/>
  <c r="I819" i="1" s="1"/>
  <c r="F818" i="1"/>
  <c r="I818" i="1" s="1"/>
  <c r="F817" i="1"/>
  <c r="F176" i="1"/>
  <c r="J176" i="1" s="1"/>
  <c r="F175" i="1"/>
  <c r="F174" i="1"/>
  <c r="F173" i="1"/>
  <c r="F170" i="1"/>
  <c r="F169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4" i="1"/>
  <c r="F153" i="1"/>
  <c r="Q177" i="1"/>
  <c r="P177" i="1"/>
  <c r="O177" i="1"/>
  <c r="N177" i="1"/>
  <c r="M177" i="1"/>
  <c r="L177" i="1"/>
  <c r="K177" i="1"/>
  <c r="J177" i="1"/>
  <c r="I177" i="1"/>
  <c r="H177" i="1"/>
  <c r="Q171" i="1"/>
  <c r="P171" i="1"/>
  <c r="O171" i="1"/>
  <c r="N171" i="1"/>
  <c r="M171" i="1"/>
  <c r="L171" i="1"/>
  <c r="K171" i="1"/>
  <c r="J171" i="1"/>
  <c r="I171" i="1"/>
  <c r="H171" i="1"/>
  <c r="Q161" i="1"/>
  <c r="P161" i="1"/>
  <c r="O161" i="1"/>
  <c r="N161" i="1"/>
  <c r="M161" i="1"/>
  <c r="L161" i="1"/>
  <c r="K161" i="1"/>
  <c r="J161" i="1"/>
  <c r="I161" i="1"/>
  <c r="H161" i="1"/>
  <c r="F141" i="1"/>
  <c r="F142" i="1"/>
  <c r="F143" i="1"/>
  <c r="F144" i="1"/>
  <c r="F145" i="1"/>
  <c r="F146" i="1"/>
  <c r="F147" i="1"/>
  <c r="F148" i="1"/>
  <c r="F150" i="1"/>
  <c r="F149" i="1"/>
  <c r="Q151" i="1"/>
  <c r="P151" i="1"/>
  <c r="O151" i="1"/>
  <c r="N151" i="1"/>
  <c r="M151" i="1"/>
  <c r="L151" i="1"/>
  <c r="K151" i="1"/>
  <c r="J151" i="1"/>
  <c r="I151" i="1"/>
  <c r="H151" i="1"/>
  <c r="F134" i="1"/>
  <c r="F133" i="1"/>
  <c r="J133" i="1" s="1"/>
  <c r="F132" i="1"/>
  <c r="F138" i="1" s="1"/>
  <c r="F131" i="1"/>
  <c r="F130" i="1"/>
  <c r="F136" i="1" s="1"/>
  <c r="F129" i="1"/>
  <c r="Q139" i="1"/>
  <c r="P139" i="1"/>
  <c r="O139" i="1"/>
  <c r="N139" i="1"/>
  <c r="M139" i="1"/>
  <c r="L139" i="1"/>
  <c r="K139" i="1"/>
  <c r="J139" i="1"/>
  <c r="I139" i="1"/>
  <c r="H139" i="1"/>
  <c r="Q127" i="1"/>
  <c r="P127" i="1"/>
  <c r="O127" i="1"/>
  <c r="N127" i="1"/>
  <c r="M127" i="1"/>
  <c r="L127" i="1"/>
  <c r="K127" i="1"/>
  <c r="J127" i="1"/>
  <c r="I127" i="1"/>
  <c r="H127" i="1"/>
  <c r="F122" i="1"/>
  <c r="F121" i="1"/>
  <c r="F120" i="1"/>
  <c r="F119" i="1"/>
  <c r="F118" i="1"/>
  <c r="F117" i="1"/>
  <c r="Q822" i="1"/>
  <c r="P822" i="1"/>
  <c r="O822" i="1"/>
  <c r="N822" i="1"/>
  <c r="M822" i="1"/>
  <c r="L822" i="1"/>
  <c r="K822" i="1"/>
  <c r="J822" i="1"/>
  <c r="I822" i="1"/>
  <c r="H822" i="1"/>
  <c r="Q126" i="1"/>
  <c r="P126" i="1"/>
  <c r="O126" i="1"/>
  <c r="N126" i="1"/>
  <c r="M126" i="1"/>
  <c r="L126" i="1"/>
  <c r="K126" i="1"/>
  <c r="J126" i="1"/>
  <c r="I126" i="1"/>
  <c r="H126" i="1"/>
  <c r="J125" i="1"/>
  <c r="I125" i="1"/>
  <c r="Q124" i="1"/>
  <c r="P124" i="1"/>
  <c r="O124" i="1"/>
  <c r="N124" i="1"/>
  <c r="M124" i="1"/>
  <c r="L124" i="1"/>
  <c r="K124" i="1"/>
  <c r="J124" i="1"/>
  <c r="I124" i="1"/>
  <c r="H124" i="1"/>
  <c r="Q123" i="1"/>
  <c r="P123" i="1"/>
  <c r="O123" i="1"/>
  <c r="N123" i="1"/>
  <c r="M123" i="1"/>
  <c r="L123" i="1"/>
  <c r="K123" i="1"/>
  <c r="J123" i="1"/>
  <c r="I123" i="1"/>
  <c r="H123" i="1"/>
  <c r="F114" i="1"/>
  <c r="F105" i="1"/>
  <c r="F111" i="1" s="1"/>
  <c r="F107" i="1"/>
  <c r="J107" i="1" s="1"/>
  <c r="Q112" i="1"/>
  <c r="P112" i="1"/>
  <c r="O112" i="1"/>
  <c r="N112" i="1"/>
  <c r="M112" i="1"/>
  <c r="L112" i="1"/>
  <c r="K112" i="1"/>
  <c r="J112" i="1"/>
  <c r="I112" i="1"/>
  <c r="H112" i="1"/>
  <c r="Q115" i="1"/>
  <c r="P115" i="1"/>
  <c r="O115" i="1"/>
  <c r="N115" i="1"/>
  <c r="M115" i="1"/>
  <c r="L115" i="1"/>
  <c r="K115" i="1"/>
  <c r="J115" i="1"/>
  <c r="I115" i="1"/>
  <c r="H115" i="1"/>
  <c r="Q113" i="1"/>
  <c r="P113" i="1"/>
  <c r="O113" i="1"/>
  <c r="N113" i="1"/>
  <c r="M113" i="1"/>
  <c r="L113" i="1"/>
  <c r="K113" i="1"/>
  <c r="J113" i="1"/>
  <c r="I113" i="1"/>
  <c r="H113" i="1"/>
  <c r="Q104" i="1"/>
  <c r="P104" i="1"/>
  <c r="O104" i="1"/>
  <c r="N104" i="1"/>
  <c r="M104" i="1"/>
  <c r="L104" i="1"/>
  <c r="K104" i="1"/>
  <c r="J104" i="1"/>
  <c r="I104" i="1"/>
  <c r="H104" i="1"/>
  <c r="Q95" i="1"/>
  <c r="P95" i="1"/>
  <c r="O95" i="1"/>
  <c r="N95" i="1"/>
  <c r="M95" i="1"/>
  <c r="L95" i="1"/>
  <c r="K95" i="1"/>
  <c r="J95" i="1"/>
  <c r="I95" i="1"/>
  <c r="H95" i="1"/>
  <c r="I94" i="1"/>
  <c r="Q93" i="1"/>
  <c r="P93" i="1"/>
  <c r="O93" i="1"/>
  <c r="N93" i="1"/>
  <c r="M93" i="1"/>
  <c r="L93" i="1"/>
  <c r="K93" i="1"/>
  <c r="J93" i="1"/>
  <c r="I93" i="1"/>
  <c r="H93" i="1"/>
  <c r="Q92" i="1"/>
  <c r="P92" i="1"/>
  <c r="O92" i="1"/>
  <c r="N92" i="1"/>
  <c r="M92" i="1"/>
  <c r="L92" i="1"/>
  <c r="K92" i="1"/>
  <c r="J92" i="1"/>
  <c r="I92" i="1"/>
  <c r="H92" i="1"/>
  <c r="F90" i="1"/>
  <c r="F89" i="1"/>
  <c r="F88" i="1"/>
  <c r="F87" i="1"/>
  <c r="F86" i="1"/>
  <c r="F85" i="1"/>
  <c r="F81" i="1"/>
  <c r="F80" i="1"/>
  <c r="F79" i="1"/>
  <c r="F78" i="1"/>
  <c r="F77" i="1"/>
  <c r="F73" i="1"/>
  <c r="F72" i="1"/>
  <c r="F71" i="1"/>
  <c r="F62" i="1"/>
  <c r="F70" i="1"/>
  <c r="F69" i="1"/>
  <c r="Q83" i="1"/>
  <c r="P83" i="1"/>
  <c r="O83" i="1"/>
  <c r="N83" i="1"/>
  <c r="M83" i="1"/>
  <c r="L83" i="1"/>
  <c r="K83" i="1"/>
  <c r="J83" i="1"/>
  <c r="I83" i="1"/>
  <c r="H83" i="1"/>
  <c r="Q75" i="1"/>
  <c r="P75" i="1"/>
  <c r="O75" i="1"/>
  <c r="N75" i="1"/>
  <c r="M75" i="1"/>
  <c r="L75" i="1"/>
  <c r="K75" i="1"/>
  <c r="J75" i="1"/>
  <c r="I75" i="1"/>
  <c r="H75" i="1"/>
  <c r="F65" i="1"/>
  <c r="F64" i="1"/>
  <c r="F63" i="1"/>
  <c r="F61" i="1"/>
  <c r="F57" i="1"/>
  <c r="F56" i="1"/>
  <c r="F55" i="1"/>
  <c r="F54" i="1"/>
  <c r="F53" i="1"/>
  <c r="Q67" i="1"/>
  <c r="P67" i="1"/>
  <c r="O67" i="1"/>
  <c r="N67" i="1"/>
  <c r="M67" i="1"/>
  <c r="L67" i="1"/>
  <c r="K67" i="1"/>
  <c r="J67" i="1"/>
  <c r="I67" i="1"/>
  <c r="H67" i="1"/>
  <c r="Q59" i="1"/>
  <c r="P59" i="1"/>
  <c r="O59" i="1"/>
  <c r="N59" i="1"/>
  <c r="M59" i="1"/>
  <c r="L59" i="1"/>
  <c r="K59" i="1"/>
  <c r="J59" i="1"/>
  <c r="I59" i="1"/>
  <c r="H59" i="1"/>
  <c r="Q51" i="1"/>
  <c r="P51" i="1"/>
  <c r="O51" i="1"/>
  <c r="N51" i="1"/>
  <c r="M51" i="1"/>
  <c r="L51" i="1"/>
  <c r="K51" i="1"/>
  <c r="J51" i="1"/>
  <c r="I51" i="1"/>
  <c r="H51" i="1"/>
  <c r="F49" i="1"/>
  <c r="F48" i="1"/>
  <c r="F47" i="1"/>
  <c r="F46" i="1"/>
  <c r="F45" i="1"/>
  <c r="F42" i="1"/>
  <c r="F41" i="1"/>
  <c r="F36" i="1"/>
  <c r="I36" i="1" s="1"/>
  <c r="F35" i="1"/>
  <c r="I35" i="1" s="1"/>
  <c r="F34" i="1"/>
  <c r="F33" i="1"/>
  <c r="F32" i="1"/>
  <c r="I32" i="1" s="1"/>
  <c r="Q43" i="1"/>
  <c r="P43" i="1"/>
  <c r="O43" i="1"/>
  <c r="N43" i="1"/>
  <c r="M43" i="1"/>
  <c r="L43" i="1"/>
  <c r="K43" i="1"/>
  <c r="J43" i="1"/>
  <c r="I43" i="1"/>
  <c r="H43" i="1"/>
  <c r="Q38" i="1"/>
  <c r="P38" i="1"/>
  <c r="O38" i="1"/>
  <c r="N38" i="1"/>
  <c r="M38" i="1"/>
  <c r="L38" i="1"/>
  <c r="K38" i="1"/>
  <c r="J38" i="1"/>
  <c r="I38" i="1"/>
  <c r="H38" i="1"/>
  <c r="H24" i="1"/>
  <c r="I24" i="1" s="1"/>
  <c r="J24" i="1"/>
  <c r="H25" i="1"/>
  <c r="I25" i="1" s="1"/>
  <c r="J25" i="1"/>
  <c r="J17" i="1"/>
  <c r="H17" i="1"/>
  <c r="I17" i="1" s="1"/>
  <c r="F497" i="1" l="1"/>
  <c r="L497" i="1" s="1"/>
  <c r="F496" i="1"/>
  <c r="L496" i="1" s="1"/>
  <c r="L55" i="1"/>
  <c r="J73" i="1"/>
  <c r="L73" i="1"/>
  <c r="L144" i="1"/>
  <c r="L166" i="1"/>
  <c r="L42" i="1"/>
  <c r="J57" i="1"/>
  <c r="L57" i="1"/>
  <c r="L78" i="1"/>
  <c r="J89" i="1"/>
  <c r="L89" i="1"/>
  <c r="L119" i="1"/>
  <c r="L149" i="1"/>
  <c r="L142" i="1"/>
  <c r="L168" i="1"/>
  <c r="L828" i="1"/>
  <c r="J828" i="1"/>
  <c r="L554" i="1"/>
  <c r="L508" i="1"/>
  <c r="L606" i="1"/>
  <c r="L61" i="1"/>
  <c r="L69" i="1"/>
  <c r="I625" i="1"/>
  <c r="K625" i="1" s="1"/>
  <c r="L625" i="1"/>
  <c r="L80" i="1"/>
  <c r="J80" i="1"/>
  <c r="L148" i="1"/>
  <c r="L170" i="1"/>
  <c r="L189" i="1"/>
  <c r="L98" i="1"/>
  <c r="L538" i="1"/>
  <c r="L553" i="1"/>
  <c r="I560" i="1"/>
  <c r="K560" i="1" s="1"/>
  <c r="L560" i="1"/>
  <c r="L576" i="1"/>
  <c r="I632" i="1"/>
  <c r="K632" i="1" s="1"/>
  <c r="L632" i="1"/>
  <c r="L612" i="1"/>
  <c r="J90" i="1"/>
  <c r="L90" i="1"/>
  <c r="L150" i="1"/>
  <c r="L141" i="1"/>
  <c r="L169" i="1"/>
  <c r="L196" i="1"/>
  <c r="L552" i="1"/>
  <c r="L46" i="1"/>
  <c r="L63" i="1"/>
  <c r="L70" i="1"/>
  <c r="L47" i="1"/>
  <c r="L64" i="1"/>
  <c r="J64" i="1"/>
  <c r="L62" i="1"/>
  <c r="L81" i="1"/>
  <c r="J81" i="1"/>
  <c r="L114" i="1"/>
  <c r="L147" i="1"/>
  <c r="L153" i="1"/>
  <c r="L163" i="1"/>
  <c r="L173" i="1"/>
  <c r="L190" i="1"/>
  <c r="I99" i="1"/>
  <c r="K99" i="1" s="1"/>
  <c r="L99" i="1"/>
  <c r="L561" i="1"/>
  <c r="L639" i="1"/>
  <c r="L79" i="1"/>
  <c r="J48" i="1"/>
  <c r="L48" i="1"/>
  <c r="I53" i="1"/>
  <c r="K53" i="1" s="1"/>
  <c r="L53" i="1"/>
  <c r="L65" i="1"/>
  <c r="J65" i="1"/>
  <c r="L71" i="1"/>
  <c r="L85" i="1"/>
  <c r="L146" i="1"/>
  <c r="I154" i="1"/>
  <c r="N154" i="1" s="1"/>
  <c r="L154" i="1"/>
  <c r="L164" i="1"/>
  <c r="L174" i="1"/>
  <c r="L824" i="1"/>
  <c r="L191" i="1"/>
  <c r="L545" i="1"/>
  <c r="I562" i="1"/>
  <c r="K562" i="1" s="1"/>
  <c r="L562" i="1"/>
  <c r="L514" i="1"/>
  <c r="L640" i="1"/>
  <c r="L653" i="1"/>
  <c r="I646" i="1"/>
  <c r="N646" i="1" s="1"/>
  <c r="L646" i="1"/>
  <c r="L49" i="1"/>
  <c r="J49" i="1"/>
  <c r="J72" i="1"/>
  <c r="L72" i="1"/>
  <c r="L86" i="1"/>
  <c r="J145" i="1"/>
  <c r="L145" i="1"/>
  <c r="L155" i="1"/>
  <c r="L165" i="1"/>
  <c r="L175" i="1"/>
  <c r="L825" i="1"/>
  <c r="L192" i="1"/>
  <c r="I546" i="1"/>
  <c r="N546" i="1" s="1"/>
  <c r="L546" i="1"/>
  <c r="L515" i="1"/>
  <c r="L647" i="1"/>
  <c r="L45" i="1"/>
  <c r="L54" i="1"/>
  <c r="L87" i="1"/>
  <c r="L156" i="1"/>
  <c r="L826" i="1"/>
  <c r="I544" i="1"/>
  <c r="K544" i="1" s="1"/>
  <c r="L544" i="1"/>
  <c r="L568" i="1"/>
  <c r="I522" i="1"/>
  <c r="K522" i="1" s="1"/>
  <c r="L522" i="1"/>
  <c r="L600" i="1"/>
  <c r="L41" i="1"/>
  <c r="J56" i="1"/>
  <c r="L56" i="1"/>
  <c r="L77" i="1"/>
  <c r="L88" i="1"/>
  <c r="L143" i="1"/>
  <c r="L167" i="1"/>
  <c r="L827" i="1"/>
  <c r="L179" i="1"/>
  <c r="L530" i="1"/>
  <c r="L507" i="1"/>
  <c r="L569" i="1"/>
  <c r="L523" i="1"/>
  <c r="L618" i="1"/>
  <c r="K730" i="1"/>
  <c r="N730" i="1"/>
  <c r="N840" i="1"/>
  <c r="K840" i="1"/>
  <c r="N842" i="1"/>
  <c r="N841" i="1"/>
  <c r="K842" i="1"/>
  <c r="I169" i="1"/>
  <c r="K169" i="1" s="1"/>
  <c r="K841" i="1"/>
  <c r="K839" i="1"/>
  <c r="N839" i="1"/>
  <c r="K834" i="1"/>
  <c r="N834" i="1"/>
  <c r="K800" i="1"/>
  <c r="N800" i="1"/>
  <c r="N801" i="1"/>
  <c r="K801" i="1"/>
  <c r="K776" i="1"/>
  <c r="K783" i="1"/>
  <c r="K787" i="1"/>
  <c r="K779" i="1"/>
  <c r="K782" i="1"/>
  <c r="K786" i="1"/>
  <c r="K790" i="1"/>
  <c r="K775" i="1"/>
  <c r="K774" i="1"/>
  <c r="N774" i="1"/>
  <c r="N692" i="1"/>
  <c r="N691" i="1"/>
  <c r="K684" i="1"/>
  <c r="N684" i="1"/>
  <c r="N693" i="1"/>
  <c r="K692" i="1"/>
  <c r="K693" i="1"/>
  <c r="K691" i="1"/>
  <c r="K675" i="1"/>
  <c r="K683" i="1"/>
  <c r="N683" i="1"/>
  <c r="N675" i="1"/>
  <c r="K674" i="1"/>
  <c r="N674" i="1"/>
  <c r="N660" i="1"/>
  <c r="N680" i="1"/>
  <c r="N679" i="1"/>
  <c r="N661" i="1"/>
  <c r="K660" i="1"/>
  <c r="K659" i="1"/>
  <c r="K661" i="1"/>
  <c r="N659" i="1"/>
  <c r="I647" i="1"/>
  <c r="N647" i="1" s="1"/>
  <c r="I618" i="1"/>
  <c r="N618" i="1" s="1"/>
  <c r="I653" i="1"/>
  <c r="N653" i="1" s="1"/>
  <c r="I626" i="1"/>
  <c r="N626" i="1" s="1"/>
  <c r="I654" i="1"/>
  <c r="I612" i="1"/>
  <c r="K612" i="1" s="1"/>
  <c r="I600" i="1"/>
  <c r="K600" i="1" s="1"/>
  <c r="I606" i="1"/>
  <c r="K606" i="1" s="1"/>
  <c r="I639" i="1"/>
  <c r="K639" i="1" s="1"/>
  <c r="I640" i="1"/>
  <c r="K640" i="1" s="1"/>
  <c r="I594" i="1"/>
  <c r="N594" i="1" s="1"/>
  <c r="N593" i="1"/>
  <c r="K593" i="1"/>
  <c r="I582" i="1"/>
  <c r="N582" i="1" s="1"/>
  <c r="I633" i="1"/>
  <c r="K633" i="1" s="1"/>
  <c r="I523" i="1"/>
  <c r="K523" i="1" s="1"/>
  <c r="I514" i="1"/>
  <c r="N514" i="1" s="1"/>
  <c r="I515" i="1"/>
  <c r="K515" i="1" s="1"/>
  <c r="I575" i="1"/>
  <c r="K506" i="1"/>
  <c r="I576" i="1"/>
  <c r="K576" i="1" s="1"/>
  <c r="I568" i="1"/>
  <c r="N568" i="1" s="1"/>
  <c r="I561" i="1"/>
  <c r="N561" i="1" s="1"/>
  <c r="I569" i="1"/>
  <c r="K569" i="1" s="1"/>
  <c r="I508" i="1"/>
  <c r="N508" i="1" s="1"/>
  <c r="F498" i="1"/>
  <c r="F499" i="1"/>
  <c r="F500" i="1"/>
  <c r="I538" i="1"/>
  <c r="K538" i="1" s="1"/>
  <c r="K818" i="1"/>
  <c r="N818" i="1"/>
  <c r="I545" i="1"/>
  <c r="K545" i="1" s="1"/>
  <c r="I553" i="1"/>
  <c r="N553" i="1" s="1"/>
  <c r="I552" i="1"/>
  <c r="K552" i="1" s="1"/>
  <c r="I554" i="1"/>
  <c r="K554" i="1" s="1"/>
  <c r="I530" i="1"/>
  <c r="K530" i="1" s="1"/>
  <c r="I532" i="1"/>
  <c r="N532" i="1" s="1"/>
  <c r="I225" i="1"/>
  <c r="N225" i="1" s="1"/>
  <c r="N101" i="1"/>
  <c r="K221" i="1"/>
  <c r="J199" i="1"/>
  <c r="K199" i="1" s="1"/>
  <c r="J101" i="1"/>
  <c r="K101" i="1" s="1"/>
  <c r="N221" i="1"/>
  <c r="K218" i="1"/>
  <c r="N218" i="1"/>
  <c r="F102" i="1"/>
  <c r="N100" i="1"/>
  <c r="I98" i="1"/>
  <c r="N98" i="1" s="1"/>
  <c r="J100" i="1"/>
  <c r="K100" i="1" s="1"/>
  <c r="K819" i="1"/>
  <c r="N819" i="1"/>
  <c r="I146" i="1"/>
  <c r="N146" i="1" s="1"/>
  <c r="I196" i="1"/>
  <c r="N196" i="1" s="1"/>
  <c r="I153" i="1"/>
  <c r="N153" i="1" s="1"/>
  <c r="I192" i="1"/>
  <c r="K192" i="1" s="1"/>
  <c r="N199" i="1"/>
  <c r="I198" i="1"/>
  <c r="K198" i="1" s="1"/>
  <c r="I197" i="1"/>
  <c r="I186" i="1"/>
  <c r="N186" i="1" s="1"/>
  <c r="I167" i="1"/>
  <c r="K167" i="1" s="1"/>
  <c r="I191" i="1"/>
  <c r="K191" i="1" s="1"/>
  <c r="I190" i="1"/>
  <c r="K190" i="1" s="1"/>
  <c r="I189" i="1"/>
  <c r="K189" i="1" s="1"/>
  <c r="J821" i="1"/>
  <c r="I131" i="1"/>
  <c r="K131" i="1" s="1"/>
  <c r="I168" i="1"/>
  <c r="N168" i="1" s="1"/>
  <c r="I185" i="1"/>
  <c r="I184" i="1"/>
  <c r="K183" i="1"/>
  <c r="N183" i="1"/>
  <c r="I179" i="1"/>
  <c r="K179" i="1" s="1"/>
  <c r="I159" i="1"/>
  <c r="K159" i="1" s="1"/>
  <c r="I145" i="1"/>
  <c r="N145" i="1" s="1"/>
  <c r="I175" i="1"/>
  <c r="N175" i="1" s="1"/>
  <c r="I826" i="1"/>
  <c r="K826" i="1" s="1"/>
  <c r="I824" i="1"/>
  <c r="N824" i="1" s="1"/>
  <c r="I827" i="1"/>
  <c r="N827" i="1" s="1"/>
  <c r="I825" i="1"/>
  <c r="K825" i="1" s="1"/>
  <c r="I828" i="1"/>
  <c r="I821" i="1"/>
  <c r="N821" i="1" s="1"/>
  <c r="I820" i="1"/>
  <c r="N820" i="1" s="1"/>
  <c r="I817" i="1"/>
  <c r="I176" i="1"/>
  <c r="K176" i="1" s="1"/>
  <c r="I174" i="1"/>
  <c r="K174" i="1" s="1"/>
  <c r="I173" i="1"/>
  <c r="K173" i="1" s="1"/>
  <c r="I165" i="1"/>
  <c r="K165" i="1" s="1"/>
  <c r="F137" i="1"/>
  <c r="I163" i="1"/>
  <c r="K163" i="1" s="1"/>
  <c r="I142" i="1"/>
  <c r="K142" i="1" s="1"/>
  <c r="I166" i="1"/>
  <c r="K166" i="1" s="1"/>
  <c r="I87" i="1"/>
  <c r="N87" i="1" s="1"/>
  <c r="I164" i="1"/>
  <c r="N164" i="1" s="1"/>
  <c r="I170" i="1"/>
  <c r="K170" i="1" s="1"/>
  <c r="I160" i="1"/>
  <c r="K160" i="1" s="1"/>
  <c r="I158" i="1"/>
  <c r="N158" i="1" s="1"/>
  <c r="I157" i="1"/>
  <c r="I156" i="1"/>
  <c r="K156" i="1" s="1"/>
  <c r="I155" i="1"/>
  <c r="K155" i="1" s="1"/>
  <c r="I143" i="1"/>
  <c r="K143" i="1" s="1"/>
  <c r="I141" i="1"/>
  <c r="K141" i="1" s="1"/>
  <c r="I138" i="1"/>
  <c r="N138" i="1" s="1"/>
  <c r="I130" i="1"/>
  <c r="I149" i="1"/>
  <c r="N149" i="1" s="1"/>
  <c r="I148" i="1"/>
  <c r="K148" i="1" s="1"/>
  <c r="I147" i="1"/>
  <c r="K147" i="1" s="1"/>
  <c r="I150" i="1"/>
  <c r="K150" i="1" s="1"/>
  <c r="I144" i="1"/>
  <c r="K144" i="1" s="1"/>
  <c r="F135" i="1"/>
  <c r="I79" i="1"/>
  <c r="N79" i="1" s="1"/>
  <c r="I136" i="1"/>
  <c r="I134" i="1"/>
  <c r="I133" i="1"/>
  <c r="K133" i="1" s="1"/>
  <c r="I132" i="1"/>
  <c r="I129" i="1"/>
  <c r="F82" i="1"/>
  <c r="I63" i="1"/>
  <c r="K63" i="1" s="1"/>
  <c r="F106" i="1"/>
  <c r="K125" i="1"/>
  <c r="N125" i="1"/>
  <c r="I117" i="1"/>
  <c r="N117" i="1" s="1"/>
  <c r="J111" i="1"/>
  <c r="F108" i="1"/>
  <c r="I108" i="1" s="1"/>
  <c r="F109" i="1"/>
  <c r="F110" i="1"/>
  <c r="I114" i="1"/>
  <c r="K114" i="1" s="1"/>
  <c r="I111" i="1"/>
  <c r="I107" i="1"/>
  <c r="K107" i="1" s="1"/>
  <c r="K94" i="1"/>
  <c r="I55" i="1"/>
  <c r="K55" i="1" s="1"/>
  <c r="I57" i="1"/>
  <c r="N94" i="1"/>
  <c r="F91" i="1"/>
  <c r="F74" i="1"/>
  <c r="F58" i="1"/>
  <c r="I90" i="1"/>
  <c r="I89" i="1"/>
  <c r="N89" i="1" s="1"/>
  <c r="I88" i="1"/>
  <c r="N88" i="1" s="1"/>
  <c r="I86" i="1"/>
  <c r="K86" i="1" s="1"/>
  <c r="I85" i="1"/>
  <c r="K85" i="1" s="1"/>
  <c r="I81" i="1"/>
  <c r="I80" i="1"/>
  <c r="I78" i="1"/>
  <c r="K78" i="1" s="1"/>
  <c r="I77" i="1"/>
  <c r="K77" i="1" s="1"/>
  <c r="I73" i="1"/>
  <c r="N73" i="1" s="1"/>
  <c r="I72" i="1"/>
  <c r="I71" i="1"/>
  <c r="K71" i="1" s="1"/>
  <c r="I70" i="1"/>
  <c r="K70" i="1" s="1"/>
  <c r="I69" i="1"/>
  <c r="N69" i="1" s="1"/>
  <c r="K25" i="1"/>
  <c r="F66" i="1"/>
  <c r="I65" i="1"/>
  <c r="I64" i="1"/>
  <c r="I62" i="1"/>
  <c r="K62" i="1" s="1"/>
  <c r="I61" i="1"/>
  <c r="N61" i="1" s="1"/>
  <c r="H56" i="1"/>
  <c r="I56" i="1" s="1"/>
  <c r="I54" i="1"/>
  <c r="N54" i="1" s="1"/>
  <c r="F50" i="1"/>
  <c r="I45" i="1"/>
  <c r="K45" i="1" s="1"/>
  <c r="I49" i="1"/>
  <c r="N49" i="1" s="1"/>
  <c r="I48" i="1"/>
  <c r="I47" i="1"/>
  <c r="K47" i="1" s="1"/>
  <c r="I46" i="1"/>
  <c r="N46" i="1" s="1"/>
  <c r="I42" i="1"/>
  <c r="K42" i="1" s="1"/>
  <c r="I41" i="1"/>
  <c r="N41" i="1" s="1"/>
  <c r="N24" i="1"/>
  <c r="F37" i="1"/>
  <c r="N36" i="1"/>
  <c r="J36" i="1"/>
  <c r="K36" i="1" s="1"/>
  <c r="N35" i="1"/>
  <c r="J35" i="1"/>
  <c r="K35" i="1" s="1"/>
  <c r="I34" i="1"/>
  <c r="N34" i="1" s="1"/>
  <c r="I33" i="1"/>
  <c r="K33" i="1" s="1"/>
  <c r="N32" i="1"/>
  <c r="K32" i="1"/>
  <c r="N25" i="1"/>
  <c r="K24" i="1"/>
  <c r="K17" i="1"/>
  <c r="I702" i="1"/>
  <c r="I698" i="1"/>
  <c r="I121" i="1"/>
  <c r="I120" i="1"/>
  <c r="I119" i="1"/>
  <c r="K119" i="1" s="1"/>
  <c r="I118" i="1"/>
  <c r="Q30" i="1"/>
  <c r="P30" i="1"/>
  <c r="O30" i="1"/>
  <c r="N30" i="1"/>
  <c r="M30" i="1"/>
  <c r="L30" i="1"/>
  <c r="K30" i="1"/>
  <c r="J30" i="1"/>
  <c r="I30" i="1"/>
  <c r="H30" i="1"/>
  <c r="H715" i="1"/>
  <c r="I715" i="1"/>
  <c r="J715" i="1"/>
  <c r="K715" i="1"/>
  <c r="L715" i="1"/>
  <c r="M715" i="1"/>
  <c r="N715" i="1"/>
  <c r="O715" i="1"/>
  <c r="P715" i="1"/>
  <c r="Q715" i="1"/>
  <c r="H716" i="1"/>
  <c r="I716" i="1" s="1"/>
  <c r="I454" i="1"/>
  <c r="I452" i="1"/>
  <c r="I451" i="1"/>
  <c r="I450" i="1"/>
  <c r="I449" i="1"/>
  <c r="K546" i="1" l="1"/>
  <c r="N562" i="1"/>
  <c r="N625" i="1"/>
  <c r="I496" i="1"/>
  <c r="K496" i="1" s="1"/>
  <c r="I497" i="1"/>
  <c r="N497" i="1" s="1"/>
  <c r="O497" i="1" s="1"/>
  <c r="N522" i="1"/>
  <c r="K646" i="1"/>
  <c r="N560" i="1"/>
  <c r="K154" i="1"/>
  <c r="N544" i="1"/>
  <c r="N99" i="1"/>
  <c r="K41" i="1"/>
  <c r="K153" i="1"/>
  <c r="K87" i="1"/>
  <c r="K196" i="1"/>
  <c r="K618" i="1"/>
  <c r="K69" i="1"/>
  <c r="K514" i="1"/>
  <c r="K81" i="1"/>
  <c r="K61" i="1"/>
  <c r="N515" i="1"/>
  <c r="K56" i="1"/>
  <c r="K828" i="1"/>
  <c r="K145" i="1"/>
  <c r="K164" i="1"/>
  <c r="K79" i="1"/>
  <c r="K88" i="1"/>
  <c r="K65" i="1"/>
  <c r="K80" i="1"/>
  <c r="J91" i="1"/>
  <c r="L91" i="1"/>
  <c r="L106" i="1"/>
  <c r="K827" i="1"/>
  <c r="K653" i="1"/>
  <c r="K824" i="1"/>
  <c r="K508" i="1"/>
  <c r="K168" i="1"/>
  <c r="K89" i="1"/>
  <c r="K647" i="1"/>
  <c r="I50" i="1"/>
  <c r="N50" i="1" s="1"/>
  <c r="J50" i="1"/>
  <c r="L50" i="1"/>
  <c r="K175" i="1"/>
  <c r="K98" i="1"/>
  <c r="N53" i="1"/>
  <c r="L500" i="1"/>
  <c r="N523" i="1"/>
  <c r="K568" i="1"/>
  <c r="K54" i="1"/>
  <c r="K146" i="1"/>
  <c r="K561" i="1"/>
  <c r="K64" i="1"/>
  <c r="K46" i="1"/>
  <c r="L66" i="1"/>
  <c r="J66" i="1"/>
  <c r="N632" i="1"/>
  <c r="J74" i="1"/>
  <c r="L74" i="1"/>
  <c r="L82" i="1"/>
  <c r="J82" i="1"/>
  <c r="L499" i="1"/>
  <c r="K72" i="1"/>
  <c r="I498" i="1"/>
  <c r="N498" i="1" s="1"/>
  <c r="L498" i="1"/>
  <c r="N530" i="1"/>
  <c r="K49" i="1"/>
  <c r="K553" i="1"/>
  <c r="K149" i="1"/>
  <c r="K57" i="1"/>
  <c r="K73" i="1"/>
  <c r="K48" i="1"/>
  <c r="J58" i="1"/>
  <c r="L58" i="1"/>
  <c r="K90" i="1"/>
  <c r="K454" i="1"/>
  <c r="N454" i="1"/>
  <c r="K450" i="1"/>
  <c r="N452" i="1"/>
  <c r="K452" i="1"/>
  <c r="K449" i="1"/>
  <c r="N449" i="1"/>
  <c r="N451" i="1"/>
  <c r="K451" i="1"/>
  <c r="N450" i="1"/>
  <c r="N716" i="1"/>
  <c r="K716" i="1"/>
  <c r="N169" i="1"/>
  <c r="K702" i="1"/>
  <c r="N702" i="1"/>
  <c r="N698" i="1"/>
  <c r="K698" i="1"/>
  <c r="N633" i="1"/>
  <c r="N654" i="1"/>
  <c r="K626" i="1"/>
  <c r="N606" i="1"/>
  <c r="K654" i="1"/>
  <c r="N612" i="1"/>
  <c r="N575" i="1"/>
  <c r="N600" i="1"/>
  <c r="N640" i="1"/>
  <c r="N639" i="1"/>
  <c r="K594" i="1"/>
  <c r="K582" i="1"/>
  <c r="K575" i="1"/>
  <c r="N576" i="1"/>
  <c r="N569" i="1"/>
  <c r="I499" i="1"/>
  <c r="K499" i="1" s="1"/>
  <c r="I500" i="1"/>
  <c r="N500" i="1" s="1"/>
  <c r="I507" i="1"/>
  <c r="I531" i="1"/>
  <c r="N531" i="1" s="1"/>
  <c r="N538" i="1"/>
  <c r="N545" i="1"/>
  <c r="N552" i="1"/>
  <c r="N554" i="1"/>
  <c r="K532" i="1"/>
  <c r="K225" i="1"/>
  <c r="N197" i="1"/>
  <c r="J102" i="1"/>
  <c r="I102" i="1"/>
  <c r="N102" i="1" s="1"/>
  <c r="K186" i="1"/>
  <c r="N192" i="1"/>
  <c r="N166" i="1"/>
  <c r="N825" i="1"/>
  <c r="N174" i="1"/>
  <c r="N189" i="1"/>
  <c r="N191" i="1"/>
  <c r="N167" i="1"/>
  <c r="N198" i="1"/>
  <c r="K197" i="1"/>
  <c r="N131" i="1"/>
  <c r="K184" i="1"/>
  <c r="N190" i="1"/>
  <c r="N159" i="1"/>
  <c r="N165" i="1"/>
  <c r="K185" i="1"/>
  <c r="N143" i="1"/>
  <c r="N184" i="1"/>
  <c r="N185" i="1"/>
  <c r="N826" i="1"/>
  <c r="N179" i="1"/>
  <c r="N828" i="1"/>
  <c r="I137" i="1"/>
  <c r="K137" i="1" s="1"/>
  <c r="K817" i="1"/>
  <c r="K821" i="1"/>
  <c r="K820" i="1"/>
  <c r="N817" i="1"/>
  <c r="N176" i="1"/>
  <c r="N173" i="1"/>
  <c r="N170" i="1"/>
  <c r="N163" i="1"/>
  <c r="N132" i="1"/>
  <c r="N142" i="1"/>
  <c r="N129" i="1"/>
  <c r="K158" i="1"/>
  <c r="N160" i="1"/>
  <c r="N157" i="1"/>
  <c r="K157" i="1"/>
  <c r="N156" i="1"/>
  <c r="N155" i="1"/>
  <c r="N141" i="1"/>
  <c r="K138" i="1"/>
  <c r="K108" i="1"/>
  <c r="K130" i="1"/>
  <c r="N130" i="1"/>
  <c r="N147" i="1"/>
  <c r="N148" i="1"/>
  <c r="N144" i="1"/>
  <c r="N150" i="1"/>
  <c r="K136" i="1"/>
  <c r="I82" i="1"/>
  <c r="I135" i="1"/>
  <c r="N135" i="1" s="1"/>
  <c r="N136" i="1"/>
  <c r="N134" i="1"/>
  <c r="K134" i="1"/>
  <c r="N133" i="1"/>
  <c r="K132" i="1"/>
  <c r="K129" i="1"/>
  <c r="N119" i="1"/>
  <c r="N55" i="1"/>
  <c r="I106" i="1"/>
  <c r="N106" i="1" s="1"/>
  <c r="N121" i="1"/>
  <c r="N63" i="1"/>
  <c r="N80" i="1"/>
  <c r="K111" i="1"/>
  <c r="K121" i="1"/>
  <c r="K120" i="1"/>
  <c r="N120" i="1"/>
  <c r="K118" i="1"/>
  <c r="N118" i="1"/>
  <c r="K117" i="1"/>
  <c r="N81" i="1"/>
  <c r="I91" i="1"/>
  <c r="N91" i="1" s="1"/>
  <c r="I110" i="1"/>
  <c r="K110" i="1" s="1"/>
  <c r="N108" i="1"/>
  <c r="I109" i="1"/>
  <c r="N114" i="1"/>
  <c r="N111" i="1"/>
  <c r="N107" i="1"/>
  <c r="N57" i="1"/>
  <c r="I58" i="1"/>
  <c r="N58" i="1" s="1"/>
  <c r="N71" i="1"/>
  <c r="I74" i="1"/>
  <c r="N77" i="1"/>
  <c r="N90" i="1"/>
  <c r="N86" i="1"/>
  <c r="N85" i="1"/>
  <c r="N78" i="1"/>
  <c r="N72" i="1"/>
  <c r="N70" i="1"/>
  <c r="N48" i="1"/>
  <c r="J37" i="1"/>
  <c r="I66" i="1"/>
  <c r="N66" i="1" s="1"/>
  <c r="N47" i="1"/>
  <c r="N64" i="1"/>
  <c r="N56" i="1"/>
  <c r="N65" i="1"/>
  <c r="N62" i="1"/>
  <c r="N45" i="1"/>
  <c r="N42" i="1"/>
  <c r="I37" i="1"/>
  <c r="K34" i="1"/>
  <c r="N33" i="1"/>
  <c r="Q244" i="1"/>
  <c r="P244" i="1"/>
  <c r="O244" i="1"/>
  <c r="N244" i="1"/>
  <c r="L244" i="1"/>
  <c r="K244" i="1"/>
  <c r="I244" i="1"/>
  <c r="H244" i="1"/>
  <c r="H243" i="1"/>
  <c r="I243" i="1" s="1"/>
  <c r="H241" i="1"/>
  <c r="I241" i="1" s="1"/>
  <c r="H240" i="1"/>
  <c r="I240" i="1" s="1"/>
  <c r="Q239" i="1"/>
  <c r="P239" i="1"/>
  <c r="O239" i="1"/>
  <c r="N239" i="1"/>
  <c r="M239" i="1"/>
  <c r="L239" i="1"/>
  <c r="K239" i="1"/>
  <c r="J239" i="1"/>
  <c r="I239" i="1"/>
  <c r="H239" i="1"/>
  <c r="Q235" i="1"/>
  <c r="P235" i="1"/>
  <c r="O235" i="1"/>
  <c r="N235" i="1"/>
  <c r="M235" i="1"/>
  <c r="L235" i="1"/>
  <c r="K235" i="1"/>
  <c r="J235" i="1"/>
  <c r="I235" i="1"/>
  <c r="H235" i="1"/>
  <c r="H246" i="1"/>
  <c r="I246" i="1" s="1"/>
  <c r="I234" i="1"/>
  <c r="Q233" i="1"/>
  <c r="P233" i="1"/>
  <c r="O233" i="1"/>
  <c r="N233" i="1"/>
  <c r="M233" i="1"/>
  <c r="L233" i="1"/>
  <c r="K233" i="1"/>
  <c r="J233" i="1"/>
  <c r="I233" i="1"/>
  <c r="H233" i="1"/>
  <c r="I711" i="1"/>
  <c r="K711" i="1" s="1"/>
  <c r="I701" i="1"/>
  <c r="Q700" i="1"/>
  <c r="P700" i="1"/>
  <c r="O700" i="1"/>
  <c r="N700" i="1"/>
  <c r="M700" i="1"/>
  <c r="L700" i="1"/>
  <c r="K700" i="1"/>
  <c r="J700" i="1"/>
  <c r="I700" i="1"/>
  <c r="H700" i="1"/>
  <c r="I697" i="1"/>
  <c r="Q696" i="1"/>
  <c r="P696" i="1"/>
  <c r="O696" i="1"/>
  <c r="N696" i="1"/>
  <c r="M696" i="1"/>
  <c r="L696" i="1"/>
  <c r="K696" i="1"/>
  <c r="J696" i="1"/>
  <c r="I696" i="1"/>
  <c r="H696" i="1"/>
  <c r="H703" i="1"/>
  <c r="I703" i="1"/>
  <c r="J703" i="1"/>
  <c r="K703" i="1"/>
  <c r="L703" i="1"/>
  <c r="M703" i="1"/>
  <c r="N703" i="1"/>
  <c r="O703" i="1"/>
  <c r="P703" i="1"/>
  <c r="Q703" i="1"/>
  <c r="H668" i="1"/>
  <c r="I668" i="1"/>
  <c r="J668" i="1"/>
  <c r="K668" i="1"/>
  <c r="L668" i="1"/>
  <c r="M668" i="1"/>
  <c r="N668" i="1"/>
  <c r="O668" i="1"/>
  <c r="P668" i="1"/>
  <c r="Q668" i="1"/>
  <c r="I658" i="1"/>
  <c r="I657" i="1"/>
  <c r="Q656" i="1"/>
  <c r="P656" i="1"/>
  <c r="O656" i="1"/>
  <c r="N656" i="1"/>
  <c r="M656" i="1"/>
  <c r="L656" i="1"/>
  <c r="K656" i="1"/>
  <c r="J656" i="1"/>
  <c r="I656" i="1"/>
  <c r="H656" i="1"/>
  <c r="M493" i="1"/>
  <c r="L493" i="1"/>
  <c r="J493" i="1"/>
  <c r="H493" i="1"/>
  <c r="I493" i="1" s="1"/>
  <c r="N496" i="1" l="1"/>
  <c r="O496" i="1" s="1"/>
  <c r="K497" i="1"/>
  <c r="P497" i="1" s="1"/>
  <c r="Q497" i="1" s="1"/>
  <c r="P496" i="1"/>
  <c r="Q496" i="1" s="1"/>
  <c r="K498" i="1"/>
  <c r="K106" i="1"/>
  <c r="K507" i="1"/>
  <c r="N507" i="1"/>
  <c r="K58" i="1"/>
  <c r="K74" i="1"/>
  <c r="K66" i="1"/>
  <c r="N499" i="1"/>
  <c r="K91" i="1"/>
  <c r="K82" i="1"/>
  <c r="K50" i="1"/>
  <c r="K246" i="1"/>
  <c r="N246" i="1"/>
  <c r="N243" i="1"/>
  <c r="K241" i="1"/>
  <c r="N241" i="1"/>
  <c r="K243" i="1"/>
  <c r="K240" i="1"/>
  <c r="N240" i="1"/>
  <c r="K234" i="1"/>
  <c r="N234" i="1"/>
  <c r="N701" i="1"/>
  <c r="N711" i="1"/>
  <c r="K701" i="1"/>
  <c r="K697" i="1"/>
  <c r="N697" i="1"/>
  <c r="K658" i="1"/>
  <c r="K500" i="1"/>
  <c r="K531" i="1"/>
  <c r="K493" i="1"/>
  <c r="N493" i="1"/>
  <c r="O493" i="1" s="1"/>
  <c r="K102" i="1"/>
  <c r="N137" i="1"/>
  <c r="N82" i="1"/>
  <c r="N110" i="1"/>
  <c r="K109" i="1"/>
  <c r="K135" i="1"/>
  <c r="N109" i="1"/>
  <c r="N74" i="1"/>
  <c r="K37" i="1"/>
  <c r="N37" i="1"/>
  <c r="N658" i="1"/>
  <c r="K657" i="1"/>
  <c r="N657" i="1"/>
  <c r="P493" i="1" l="1"/>
  <c r="Q493" i="1" s="1"/>
  <c r="H766" i="1" l="1"/>
  <c r="I766" i="1" s="1"/>
  <c r="H767" i="1"/>
  <c r="I767" i="1" s="1"/>
  <c r="H768" i="1"/>
  <c r="I768" i="1" s="1"/>
  <c r="N768" i="1" s="1"/>
  <c r="H769" i="1"/>
  <c r="I769" i="1" s="1"/>
  <c r="I770" i="1"/>
  <c r="N770" i="1" s="1"/>
  <c r="H772" i="1"/>
  <c r="I772" i="1"/>
  <c r="J772" i="1"/>
  <c r="H773" i="1"/>
  <c r="I773" i="1" s="1"/>
  <c r="H788" i="1"/>
  <c r="I788" i="1"/>
  <c r="J788" i="1"/>
  <c r="H789" i="1"/>
  <c r="I789" i="1"/>
  <c r="J789" i="1"/>
  <c r="H748" i="1"/>
  <c r="I748" i="1" s="1"/>
  <c r="H749" i="1"/>
  <c r="I749" i="1" s="1"/>
  <c r="H750" i="1"/>
  <c r="I750" i="1" s="1"/>
  <c r="H751" i="1"/>
  <c r="H752" i="1"/>
  <c r="I753" i="1"/>
  <c r="H762" i="1"/>
  <c r="L765" i="1"/>
  <c r="L772" i="1"/>
  <c r="L788" i="1"/>
  <c r="L789" i="1"/>
  <c r="L791" i="1"/>
  <c r="Q789" i="1"/>
  <c r="P789" i="1"/>
  <c r="O789" i="1"/>
  <c r="N789" i="1"/>
  <c r="K789" i="1"/>
  <c r="Q788" i="1"/>
  <c r="P788" i="1"/>
  <c r="O788" i="1"/>
  <c r="N788" i="1"/>
  <c r="K788" i="1"/>
  <c r="Q772" i="1"/>
  <c r="P772" i="1"/>
  <c r="O772" i="1"/>
  <c r="N772" i="1"/>
  <c r="K772" i="1"/>
  <c r="Q765" i="1"/>
  <c r="P765" i="1"/>
  <c r="O765" i="1"/>
  <c r="N765" i="1"/>
  <c r="M765" i="1"/>
  <c r="K765" i="1"/>
  <c r="J765" i="1"/>
  <c r="I765" i="1"/>
  <c r="H765" i="1"/>
  <c r="L757" i="1"/>
  <c r="L762" i="1"/>
  <c r="I761" i="1"/>
  <c r="I758" i="1"/>
  <c r="Q757" i="1"/>
  <c r="P757" i="1"/>
  <c r="O757" i="1"/>
  <c r="N757" i="1"/>
  <c r="M757" i="1"/>
  <c r="K757" i="1"/>
  <c r="J757" i="1"/>
  <c r="I757" i="1"/>
  <c r="H757" i="1"/>
  <c r="L747" i="1"/>
  <c r="L751" i="1"/>
  <c r="L752" i="1"/>
  <c r="L754" i="1"/>
  <c r="Q752" i="1"/>
  <c r="P752" i="1"/>
  <c r="O752" i="1"/>
  <c r="N752" i="1"/>
  <c r="M752" i="1"/>
  <c r="K752" i="1"/>
  <c r="J752" i="1"/>
  <c r="I752" i="1"/>
  <c r="Q751" i="1"/>
  <c r="P751" i="1"/>
  <c r="O751" i="1"/>
  <c r="N751" i="1"/>
  <c r="M751" i="1"/>
  <c r="K751" i="1"/>
  <c r="J751" i="1"/>
  <c r="I751" i="1"/>
  <c r="Q747" i="1"/>
  <c r="P747" i="1"/>
  <c r="O747" i="1"/>
  <c r="N747" i="1"/>
  <c r="M747" i="1"/>
  <c r="K747" i="1"/>
  <c r="J747" i="1"/>
  <c r="I747" i="1"/>
  <c r="H747" i="1"/>
  <c r="N750" i="1" l="1"/>
  <c r="K753" i="1"/>
  <c r="N753" i="1"/>
  <c r="K749" i="1"/>
  <c r="K750" i="1"/>
  <c r="K748" i="1"/>
  <c r="N748" i="1"/>
  <c r="N749" i="1"/>
  <c r="N767" i="1"/>
  <c r="K767" i="1"/>
  <c r="N773" i="1"/>
  <c r="K773" i="1"/>
  <c r="K770" i="1"/>
  <c r="N769" i="1"/>
  <c r="K769" i="1"/>
  <c r="N766" i="1"/>
  <c r="K766" i="1"/>
  <c r="K768" i="1"/>
  <c r="N761" i="1"/>
  <c r="N758" i="1"/>
  <c r="K761" i="1"/>
  <c r="K758" i="1"/>
  <c r="L846" i="1"/>
  <c r="L848" i="1"/>
  <c r="L805" i="1"/>
  <c r="L807" i="1"/>
  <c r="L808" i="1"/>
  <c r="L810" i="1"/>
  <c r="L811" i="1"/>
  <c r="L814" i="1"/>
  <c r="L815" i="1"/>
  <c r="L829" i="1"/>
  <c r="L830" i="1"/>
  <c r="L832" i="1"/>
  <c r="L835" i="1"/>
  <c r="L836" i="1"/>
  <c r="L837" i="1"/>
  <c r="L843" i="1"/>
  <c r="L797" i="1"/>
  <c r="L798" i="1"/>
  <c r="L799" i="1"/>
  <c r="L802" i="1"/>
  <c r="L795" i="1"/>
  <c r="L725" i="1"/>
  <c r="L728" i="1"/>
  <c r="L738" i="1"/>
  <c r="L720" i="1"/>
  <c r="L722" i="1"/>
  <c r="L717" i="1"/>
  <c r="L712" i="1"/>
  <c r="L662" i="1"/>
  <c r="L666" i="1"/>
  <c r="L669" i="1"/>
  <c r="L672" i="1"/>
  <c r="L677" i="1"/>
  <c r="L681" i="1"/>
  <c r="L685" i="1"/>
  <c r="L686" i="1"/>
  <c r="L688" i="1"/>
  <c r="L689" i="1"/>
  <c r="L694" i="1"/>
  <c r="L695" i="1"/>
  <c r="L709" i="1"/>
  <c r="L473" i="1"/>
  <c r="L474" i="1"/>
  <c r="L477" i="1"/>
  <c r="L478" i="1"/>
  <c r="L480" i="1"/>
  <c r="L481" i="1"/>
  <c r="L489" i="1"/>
  <c r="L429" i="1"/>
  <c r="L433" i="1"/>
  <c r="L437" i="1"/>
  <c r="L438" i="1"/>
  <c r="L441" i="1"/>
  <c r="L442" i="1"/>
  <c r="L448" i="1"/>
  <c r="L461" i="1"/>
  <c r="L232" i="1"/>
  <c r="L390" i="1"/>
  <c r="L391" i="1"/>
  <c r="L395" i="1"/>
  <c r="L396" i="1"/>
  <c r="L398" i="1"/>
  <c r="L399" i="1"/>
  <c r="L214" i="1"/>
  <c r="L216" i="1"/>
  <c r="L217" i="1"/>
  <c r="L222" i="1"/>
  <c r="L213" i="1"/>
  <c r="L203" i="1"/>
  <c r="L205" i="1"/>
  <c r="L210" i="1"/>
  <c r="L29" i="1"/>
  <c r="L200" i="1"/>
  <c r="L22" i="1"/>
  <c r="L18" i="1"/>
  <c r="L10" i="1"/>
  <c r="J12" i="1"/>
  <c r="H12" i="1"/>
  <c r="I12" i="1" s="1"/>
  <c r="K12" i="1" l="1"/>
  <c r="Q709" i="1" l="1"/>
  <c r="P709" i="1"/>
  <c r="O709" i="1"/>
  <c r="N709" i="1"/>
  <c r="M709" i="1"/>
  <c r="K709" i="1"/>
  <c r="J709" i="1"/>
  <c r="I709" i="1"/>
  <c r="H709" i="1"/>
  <c r="I708" i="1"/>
  <c r="I707" i="1"/>
  <c r="N707" i="1" s="1"/>
  <c r="I704" i="1"/>
  <c r="K707" i="1" l="1"/>
  <c r="K708" i="1"/>
  <c r="N708" i="1"/>
  <c r="K704" i="1"/>
  <c r="N704" i="1"/>
  <c r="O7" i="2"/>
  <c r="O20" i="2"/>
  <c r="O24" i="2"/>
  <c r="O28" i="2"/>
  <c r="F14" i="1"/>
  <c r="I392" i="1"/>
  <c r="Q391" i="1"/>
  <c r="P391" i="1"/>
  <c r="O391" i="1"/>
  <c r="N391" i="1"/>
  <c r="K391" i="1"/>
  <c r="I391" i="1"/>
  <c r="H391" i="1"/>
  <c r="M662" i="1"/>
  <c r="K392" i="1" l="1"/>
  <c r="N392" i="1"/>
  <c r="P846" i="1"/>
  <c r="Q846" i="1"/>
  <c r="P805" i="1"/>
  <c r="Q805" i="1"/>
  <c r="P807" i="1"/>
  <c r="Q807" i="1"/>
  <c r="P808" i="1"/>
  <c r="Q808" i="1"/>
  <c r="P810" i="1"/>
  <c r="Q810" i="1"/>
  <c r="P811" i="1"/>
  <c r="Q811" i="1"/>
  <c r="P814" i="1"/>
  <c r="Q814" i="1"/>
  <c r="P815" i="1"/>
  <c r="Q815" i="1"/>
  <c r="P829" i="1"/>
  <c r="Q829" i="1"/>
  <c r="P830" i="1"/>
  <c r="Q830" i="1"/>
  <c r="P832" i="1"/>
  <c r="Q832" i="1"/>
  <c r="P835" i="1"/>
  <c r="Q835" i="1"/>
  <c r="P836" i="1"/>
  <c r="Q836" i="1"/>
  <c r="P837" i="1"/>
  <c r="Q837" i="1"/>
  <c r="P843" i="1"/>
  <c r="Q843" i="1"/>
  <c r="P797" i="1"/>
  <c r="Q797" i="1"/>
  <c r="P798" i="1"/>
  <c r="Q798" i="1"/>
  <c r="P799" i="1"/>
  <c r="Q799" i="1"/>
  <c r="P802" i="1"/>
  <c r="Q802" i="1"/>
  <c r="P791" i="1"/>
  <c r="Q791" i="1"/>
  <c r="P762" i="1"/>
  <c r="Q762" i="1"/>
  <c r="P754" i="1"/>
  <c r="Q754" i="1"/>
  <c r="P725" i="1"/>
  <c r="Q725" i="1"/>
  <c r="P728" i="1"/>
  <c r="Q728" i="1"/>
  <c r="P738" i="1"/>
  <c r="Q738" i="1"/>
  <c r="P720" i="1"/>
  <c r="Q720" i="1"/>
  <c r="P722" i="1"/>
  <c r="Q722" i="1"/>
  <c r="P717" i="1"/>
  <c r="Q717" i="1"/>
  <c r="P666" i="1"/>
  <c r="Q666" i="1"/>
  <c r="P669" i="1"/>
  <c r="Q669" i="1"/>
  <c r="P672" i="1"/>
  <c r="Q672" i="1"/>
  <c r="P677" i="1"/>
  <c r="Q677" i="1"/>
  <c r="P681" i="1"/>
  <c r="Q681" i="1"/>
  <c r="P685" i="1"/>
  <c r="Q685" i="1"/>
  <c r="P686" i="1"/>
  <c r="Q686" i="1"/>
  <c r="P688" i="1"/>
  <c r="Q688" i="1"/>
  <c r="P689" i="1"/>
  <c r="Q689" i="1"/>
  <c r="P694" i="1"/>
  <c r="Q694" i="1"/>
  <c r="P695" i="1"/>
  <c r="Q695" i="1"/>
  <c r="P712" i="1"/>
  <c r="Q712" i="1"/>
  <c r="P662" i="1"/>
  <c r="Q662" i="1"/>
  <c r="P464" i="1"/>
  <c r="Q464" i="1"/>
  <c r="P466" i="1"/>
  <c r="Q466" i="1"/>
  <c r="P467" i="1"/>
  <c r="Q467" i="1"/>
  <c r="P470" i="1"/>
  <c r="Q470" i="1"/>
  <c r="P471" i="1"/>
  <c r="Q471" i="1"/>
  <c r="P473" i="1"/>
  <c r="Q473" i="1"/>
  <c r="P474" i="1"/>
  <c r="Q474" i="1"/>
  <c r="P477" i="1"/>
  <c r="Q477" i="1"/>
  <c r="P478" i="1"/>
  <c r="Q478" i="1"/>
  <c r="P480" i="1"/>
  <c r="Q480" i="1"/>
  <c r="P481" i="1"/>
  <c r="Q481" i="1"/>
  <c r="P489" i="1"/>
  <c r="Q489" i="1"/>
  <c r="P429" i="1"/>
  <c r="Q429" i="1"/>
  <c r="P433" i="1"/>
  <c r="Q433" i="1"/>
  <c r="P437" i="1"/>
  <c r="Q437" i="1"/>
  <c r="P438" i="1"/>
  <c r="Q438" i="1"/>
  <c r="P441" i="1"/>
  <c r="Q441" i="1"/>
  <c r="P442" i="1"/>
  <c r="Q442" i="1"/>
  <c r="P448" i="1"/>
  <c r="Q448" i="1"/>
  <c r="P461" i="1"/>
  <c r="Q461" i="1"/>
  <c r="P232" i="1"/>
  <c r="Q232" i="1"/>
  <c r="P390" i="1"/>
  <c r="Q390" i="1"/>
  <c r="P395" i="1"/>
  <c r="Q395" i="1"/>
  <c r="P396" i="1"/>
  <c r="Q396" i="1"/>
  <c r="P398" i="1"/>
  <c r="Q398" i="1"/>
  <c r="P399" i="1"/>
  <c r="Q399" i="1"/>
  <c r="P214" i="1"/>
  <c r="Q214" i="1"/>
  <c r="P216" i="1"/>
  <c r="Q216" i="1"/>
  <c r="P217" i="1"/>
  <c r="Q217" i="1"/>
  <c r="P222" i="1"/>
  <c r="Q222" i="1"/>
  <c r="P203" i="1"/>
  <c r="Q203" i="1"/>
  <c r="P205" i="1"/>
  <c r="Q205" i="1"/>
  <c r="P210" i="1"/>
  <c r="Q210" i="1"/>
  <c r="P29" i="1"/>
  <c r="Q29" i="1"/>
  <c r="P200" i="1"/>
  <c r="Q200" i="1"/>
  <c r="P22" i="1"/>
  <c r="Q22" i="1"/>
  <c r="P18" i="1"/>
  <c r="Q18" i="1"/>
  <c r="Q795" i="1"/>
  <c r="P795" i="1"/>
  <c r="Q213" i="1"/>
  <c r="P213" i="1"/>
  <c r="Q10" i="1"/>
  <c r="P10" i="1"/>
  <c r="H11" i="1"/>
  <c r="H663" i="1" l="1"/>
  <c r="I663" i="1" s="1"/>
  <c r="L34" i="2"/>
  <c r="C24" i="2"/>
  <c r="C20" i="2"/>
  <c r="C7" i="2"/>
  <c r="C5" i="2"/>
  <c r="N663" i="1" l="1"/>
  <c r="K663" i="1"/>
  <c r="C10" i="2"/>
  <c r="C11" i="2"/>
  <c r="C12" i="2"/>
  <c r="C13" i="2"/>
  <c r="C14" i="2"/>
  <c r="C15" i="2"/>
  <c r="C16" i="2"/>
  <c r="C17" i="2"/>
  <c r="C18" i="2"/>
  <c r="C21" i="2"/>
  <c r="C22" i="2"/>
  <c r="C23" i="2"/>
  <c r="C25" i="2"/>
  <c r="C26" i="2"/>
  <c r="C27" i="2"/>
  <c r="B27" i="2"/>
  <c r="B26" i="2"/>
  <c r="B25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C9" i="2"/>
  <c r="B9" i="2"/>
  <c r="C8" i="2"/>
  <c r="B8" i="2"/>
  <c r="C6" i="2"/>
  <c r="B6" i="2"/>
  <c r="H664" i="1" l="1"/>
  <c r="I664" i="1" s="1"/>
  <c r="H665" i="1"/>
  <c r="I665" i="1" s="1"/>
  <c r="O688" i="1"/>
  <c r="N688" i="1"/>
  <c r="M688" i="1"/>
  <c r="K688" i="1"/>
  <c r="J688" i="1"/>
  <c r="I688" i="1"/>
  <c r="H688" i="1"/>
  <c r="I687" i="1"/>
  <c r="O686" i="1"/>
  <c r="N686" i="1"/>
  <c r="M686" i="1"/>
  <c r="K686" i="1"/>
  <c r="J686" i="1"/>
  <c r="I686" i="1"/>
  <c r="H686" i="1"/>
  <c r="I401" i="1"/>
  <c r="K401" i="1" s="1"/>
  <c r="N401" i="1" l="1"/>
  <c r="K687" i="1"/>
  <c r="N687" i="1"/>
  <c r="K664" i="1"/>
  <c r="N664" i="1"/>
  <c r="K665" i="1"/>
  <c r="N665" i="1"/>
  <c r="A848" i="1"/>
  <c r="A849" i="1"/>
  <c r="A850" i="1"/>
  <c r="A851" i="1"/>
  <c r="A852" i="1"/>
  <c r="A11" i="1"/>
  <c r="A10" i="1"/>
  <c r="A1" i="2" l="1"/>
  <c r="O791" i="1" l="1"/>
  <c r="N791" i="1"/>
  <c r="M791" i="1"/>
  <c r="K791" i="1"/>
  <c r="J791" i="1"/>
  <c r="I791" i="1"/>
  <c r="H791" i="1"/>
  <c r="O762" i="1"/>
  <c r="N762" i="1"/>
  <c r="M762" i="1"/>
  <c r="K762" i="1"/>
  <c r="J762" i="1"/>
  <c r="I762" i="1"/>
  <c r="O754" i="1"/>
  <c r="N754" i="1"/>
  <c r="M754" i="1"/>
  <c r="K754" i="1"/>
  <c r="J754" i="1"/>
  <c r="I754" i="1"/>
  <c r="H754" i="1"/>
  <c r="O18" i="1"/>
  <c r="N18" i="1"/>
  <c r="M18" i="1"/>
  <c r="K18" i="1"/>
  <c r="J18" i="1"/>
  <c r="I18" i="1"/>
  <c r="H18" i="1"/>
  <c r="J14" i="1"/>
  <c r="H14" i="1"/>
  <c r="I14" i="1" s="1"/>
  <c r="J13" i="1"/>
  <c r="H13" i="1"/>
  <c r="I13" i="1" s="1"/>
  <c r="J11" i="1"/>
  <c r="I11" i="1"/>
  <c r="M10" i="1"/>
  <c r="N10" i="1" s="1"/>
  <c r="O10" i="1" s="1"/>
  <c r="J10" i="1"/>
  <c r="H10" i="1"/>
  <c r="I10" i="1" s="1"/>
  <c r="K11" i="1" l="1"/>
  <c r="N14" i="1"/>
  <c r="K14" i="1"/>
  <c r="K13" i="1"/>
  <c r="K10" i="1"/>
  <c r="P755" i="1"/>
  <c r="J755" i="1"/>
  <c r="D21" i="2" s="1"/>
  <c r="F21" i="2" s="1"/>
  <c r="J792" i="1"/>
  <c r="D23" i="2" s="1"/>
  <c r="F23" i="2" s="1"/>
  <c r="P792" i="1"/>
  <c r="O712" i="1"/>
  <c r="N712" i="1"/>
  <c r="K712" i="1"/>
  <c r="I712" i="1"/>
  <c r="H712" i="1"/>
  <c r="H846" i="1"/>
  <c r="I846" i="1"/>
  <c r="J846" i="1"/>
  <c r="K846" i="1"/>
  <c r="M846" i="1"/>
  <c r="N846" i="1"/>
  <c r="O846" i="1"/>
  <c r="H847" i="1"/>
  <c r="I847" i="1" s="1"/>
  <c r="H848" i="1"/>
  <c r="I848" i="1"/>
  <c r="K848" i="1" s="1"/>
  <c r="P848" i="1" s="1"/>
  <c r="Q848" i="1" s="1"/>
  <c r="J848" i="1"/>
  <c r="M848" i="1"/>
  <c r="N848" i="1" s="1"/>
  <c r="O848" i="1" s="1"/>
  <c r="H805" i="1"/>
  <c r="I805" i="1"/>
  <c r="J805" i="1"/>
  <c r="K805" i="1"/>
  <c r="M805" i="1"/>
  <c r="N805" i="1"/>
  <c r="O805" i="1"/>
  <c r="I806" i="1"/>
  <c r="H807" i="1"/>
  <c r="I807" i="1"/>
  <c r="J807" i="1"/>
  <c r="K807" i="1"/>
  <c r="M807" i="1"/>
  <c r="N807" i="1"/>
  <c r="O807" i="1"/>
  <c r="H808" i="1"/>
  <c r="I808" i="1"/>
  <c r="J808" i="1"/>
  <c r="K808" i="1"/>
  <c r="M808" i="1"/>
  <c r="N808" i="1"/>
  <c r="O808" i="1"/>
  <c r="I809" i="1"/>
  <c r="H810" i="1"/>
  <c r="I810" i="1"/>
  <c r="J810" i="1"/>
  <c r="K810" i="1"/>
  <c r="M810" i="1"/>
  <c r="N810" i="1"/>
  <c r="O810" i="1"/>
  <c r="H811" i="1"/>
  <c r="I811" i="1"/>
  <c r="J811" i="1"/>
  <c r="K811" i="1"/>
  <c r="M811" i="1"/>
  <c r="N811" i="1"/>
  <c r="O811" i="1"/>
  <c r="I812" i="1"/>
  <c r="I813" i="1"/>
  <c r="H814" i="1"/>
  <c r="I814" i="1"/>
  <c r="J814" i="1"/>
  <c r="K814" i="1"/>
  <c r="M814" i="1"/>
  <c r="N814" i="1"/>
  <c r="O814" i="1"/>
  <c r="H815" i="1"/>
  <c r="I815" i="1"/>
  <c r="J815" i="1"/>
  <c r="K815" i="1"/>
  <c r="M815" i="1"/>
  <c r="N815" i="1"/>
  <c r="O815" i="1"/>
  <c r="H829" i="1"/>
  <c r="I829" i="1"/>
  <c r="J829" i="1"/>
  <c r="K829" i="1"/>
  <c r="M829" i="1"/>
  <c r="N829" i="1"/>
  <c r="O829" i="1"/>
  <c r="H830" i="1"/>
  <c r="I830" i="1"/>
  <c r="J830" i="1"/>
  <c r="K830" i="1"/>
  <c r="M830" i="1"/>
  <c r="N830" i="1"/>
  <c r="O830" i="1"/>
  <c r="I831" i="1"/>
  <c r="H832" i="1"/>
  <c r="I832" i="1"/>
  <c r="J832" i="1"/>
  <c r="K832" i="1"/>
  <c r="M832" i="1"/>
  <c r="N832" i="1"/>
  <c r="O832" i="1"/>
  <c r="H835" i="1"/>
  <c r="I835" i="1"/>
  <c r="J835" i="1"/>
  <c r="K835" i="1"/>
  <c r="M835" i="1"/>
  <c r="N835" i="1"/>
  <c r="O835" i="1"/>
  <c r="H836" i="1"/>
  <c r="I836" i="1"/>
  <c r="J836" i="1"/>
  <c r="K836" i="1"/>
  <c r="M836" i="1"/>
  <c r="N836" i="1"/>
  <c r="O836" i="1"/>
  <c r="H837" i="1"/>
  <c r="I837" i="1"/>
  <c r="J837" i="1"/>
  <c r="K837" i="1"/>
  <c r="M837" i="1"/>
  <c r="N837" i="1"/>
  <c r="O837" i="1"/>
  <c r="H838" i="1"/>
  <c r="I838" i="1" s="1"/>
  <c r="H843" i="1"/>
  <c r="I843" i="1"/>
  <c r="J843" i="1"/>
  <c r="K843" i="1"/>
  <c r="M843" i="1"/>
  <c r="N843" i="1"/>
  <c r="O843" i="1"/>
  <c r="I796" i="1"/>
  <c r="J796" i="1"/>
  <c r="H797" i="1"/>
  <c r="I797" i="1"/>
  <c r="J797" i="1"/>
  <c r="K797" i="1"/>
  <c r="M797" i="1"/>
  <c r="N797" i="1"/>
  <c r="O797" i="1"/>
  <c r="H798" i="1"/>
  <c r="I798" i="1"/>
  <c r="J798" i="1"/>
  <c r="K798" i="1"/>
  <c r="M798" i="1"/>
  <c r="N798" i="1"/>
  <c r="O798" i="1"/>
  <c r="H799" i="1"/>
  <c r="I799" i="1"/>
  <c r="J799" i="1"/>
  <c r="K799" i="1"/>
  <c r="M799" i="1"/>
  <c r="N799" i="1"/>
  <c r="O799" i="1"/>
  <c r="H802" i="1"/>
  <c r="I802" i="1"/>
  <c r="J802" i="1"/>
  <c r="K802" i="1"/>
  <c r="M802" i="1"/>
  <c r="N802" i="1"/>
  <c r="O802" i="1"/>
  <c r="P852" i="1"/>
  <c r="O852" i="1"/>
  <c r="N852" i="1"/>
  <c r="M852" i="1"/>
  <c r="L852" i="1"/>
  <c r="K852" i="1"/>
  <c r="J852" i="1"/>
  <c r="I852" i="1"/>
  <c r="H852" i="1"/>
  <c r="P850" i="1"/>
  <c r="O850" i="1"/>
  <c r="N850" i="1"/>
  <c r="M850" i="1"/>
  <c r="L850" i="1"/>
  <c r="K850" i="1"/>
  <c r="J850" i="1"/>
  <c r="I850" i="1"/>
  <c r="H850" i="1"/>
  <c r="O795" i="1"/>
  <c r="N795" i="1"/>
  <c r="M795" i="1"/>
  <c r="K795" i="1"/>
  <c r="J795" i="1"/>
  <c r="I795" i="1"/>
  <c r="H795" i="1"/>
  <c r="O738" i="1"/>
  <c r="N738" i="1"/>
  <c r="M738" i="1"/>
  <c r="K738" i="1"/>
  <c r="J738" i="1"/>
  <c r="I738" i="1"/>
  <c r="H738" i="1"/>
  <c r="O728" i="1"/>
  <c r="N728" i="1"/>
  <c r="M728" i="1"/>
  <c r="K728" i="1"/>
  <c r="J728" i="1"/>
  <c r="I728" i="1"/>
  <c r="H728" i="1"/>
  <c r="I727" i="1"/>
  <c r="I726" i="1"/>
  <c r="O725" i="1"/>
  <c r="N725" i="1"/>
  <c r="M725" i="1"/>
  <c r="K725" i="1"/>
  <c r="J725" i="1"/>
  <c r="I725" i="1"/>
  <c r="H725" i="1"/>
  <c r="O722" i="1"/>
  <c r="N722" i="1"/>
  <c r="M722" i="1"/>
  <c r="K722" i="1"/>
  <c r="J722" i="1"/>
  <c r="I722" i="1"/>
  <c r="H722" i="1"/>
  <c r="H721" i="1"/>
  <c r="I721" i="1" s="1"/>
  <c r="O720" i="1"/>
  <c r="N720" i="1"/>
  <c r="M720" i="1"/>
  <c r="K720" i="1"/>
  <c r="J720" i="1"/>
  <c r="I720" i="1"/>
  <c r="H720" i="1"/>
  <c r="O717" i="1"/>
  <c r="N717" i="1"/>
  <c r="M717" i="1"/>
  <c r="K717" i="1"/>
  <c r="J717" i="1"/>
  <c r="I717" i="1"/>
  <c r="H717" i="1"/>
  <c r="M712" i="1"/>
  <c r="J712" i="1"/>
  <c r="I710" i="1"/>
  <c r="O695" i="1"/>
  <c r="N695" i="1"/>
  <c r="M695" i="1"/>
  <c r="K695" i="1"/>
  <c r="J695" i="1"/>
  <c r="I695" i="1"/>
  <c r="H695" i="1"/>
  <c r="O694" i="1"/>
  <c r="N694" i="1"/>
  <c r="M694" i="1"/>
  <c r="K694" i="1"/>
  <c r="J694" i="1"/>
  <c r="I694" i="1"/>
  <c r="H694" i="1"/>
  <c r="I690" i="1"/>
  <c r="O689" i="1"/>
  <c r="N689" i="1"/>
  <c r="M689" i="1"/>
  <c r="K689" i="1"/>
  <c r="J689" i="1"/>
  <c r="I689" i="1"/>
  <c r="H689" i="1"/>
  <c r="O685" i="1"/>
  <c r="N685" i="1"/>
  <c r="M685" i="1"/>
  <c r="K685" i="1"/>
  <c r="J685" i="1"/>
  <c r="I685" i="1"/>
  <c r="H685" i="1"/>
  <c r="O681" i="1"/>
  <c r="N681" i="1"/>
  <c r="M681" i="1"/>
  <c r="K681" i="1"/>
  <c r="J681" i="1"/>
  <c r="I681" i="1"/>
  <c r="H681" i="1"/>
  <c r="I678" i="1"/>
  <c r="O677" i="1"/>
  <c r="N677" i="1"/>
  <c r="M677" i="1"/>
  <c r="K677" i="1"/>
  <c r="J677" i="1"/>
  <c r="I677" i="1"/>
  <c r="H677" i="1"/>
  <c r="O672" i="1"/>
  <c r="N672" i="1"/>
  <c r="M672" i="1"/>
  <c r="K672" i="1"/>
  <c r="J672" i="1"/>
  <c r="I672" i="1"/>
  <c r="H672" i="1"/>
  <c r="I671" i="1"/>
  <c r="I670" i="1"/>
  <c r="O669" i="1"/>
  <c r="N669" i="1"/>
  <c r="M669" i="1"/>
  <c r="K669" i="1"/>
  <c r="J669" i="1"/>
  <c r="I669" i="1"/>
  <c r="H669" i="1"/>
  <c r="I667" i="1"/>
  <c r="O666" i="1"/>
  <c r="N666" i="1"/>
  <c r="M666" i="1"/>
  <c r="K666" i="1"/>
  <c r="J666" i="1"/>
  <c r="I666" i="1"/>
  <c r="H666" i="1"/>
  <c r="O662" i="1"/>
  <c r="N662" i="1"/>
  <c r="K662" i="1"/>
  <c r="J662" i="1"/>
  <c r="I662" i="1"/>
  <c r="H662" i="1"/>
  <c r="O489" i="1"/>
  <c r="N489" i="1"/>
  <c r="M489" i="1"/>
  <c r="K489" i="1"/>
  <c r="J489" i="1"/>
  <c r="I489" i="1"/>
  <c r="H489" i="1"/>
  <c r="I482" i="1"/>
  <c r="O481" i="1"/>
  <c r="N481" i="1"/>
  <c r="K481" i="1"/>
  <c r="J481" i="1"/>
  <c r="I481" i="1"/>
  <c r="H481" i="1"/>
  <c r="O480" i="1"/>
  <c r="N480" i="1"/>
  <c r="K480" i="1"/>
  <c r="J480" i="1"/>
  <c r="I480" i="1"/>
  <c r="H480" i="1"/>
  <c r="H479" i="1"/>
  <c r="I479" i="1" s="1"/>
  <c r="O478" i="1"/>
  <c r="N478" i="1"/>
  <c r="K478" i="1"/>
  <c r="J478" i="1"/>
  <c r="I478" i="1"/>
  <c r="H478" i="1"/>
  <c r="O477" i="1"/>
  <c r="N477" i="1"/>
  <c r="K477" i="1"/>
  <c r="J477" i="1"/>
  <c r="I477" i="1"/>
  <c r="H477" i="1"/>
  <c r="H476" i="1"/>
  <c r="I476" i="1" s="1"/>
  <c r="H475" i="1"/>
  <c r="I475" i="1" s="1"/>
  <c r="O474" i="1"/>
  <c r="N474" i="1"/>
  <c r="K474" i="1"/>
  <c r="J474" i="1"/>
  <c r="I474" i="1"/>
  <c r="H474" i="1"/>
  <c r="O473" i="1"/>
  <c r="N473" i="1"/>
  <c r="K473" i="1"/>
  <c r="J473" i="1"/>
  <c r="I473" i="1"/>
  <c r="H473" i="1"/>
  <c r="H472" i="1"/>
  <c r="I472" i="1" s="1"/>
  <c r="O471" i="1"/>
  <c r="N471" i="1"/>
  <c r="I471" i="1"/>
  <c r="H471" i="1"/>
  <c r="O470" i="1"/>
  <c r="N470" i="1"/>
  <c r="I470" i="1"/>
  <c r="H470" i="1"/>
  <c r="H469" i="1"/>
  <c r="I469" i="1" s="1"/>
  <c r="H468" i="1"/>
  <c r="I468" i="1" s="1"/>
  <c r="O467" i="1"/>
  <c r="I467" i="1"/>
  <c r="H467" i="1"/>
  <c r="O466" i="1"/>
  <c r="I466" i="1"/>
  <c r="H466" i="1"/>
  <c r="H465" i="1"/>
  <c r="I465" i="1" s="1"/>
  <c r="O464" i="1"/>
  <c r="I464" i="1"/>
  <c r="H464" i="1"/>
  <c r="O461" i="1"/>
  <c r="N461" i="1"/>
  <c r="M461" i="1"/>
  <c r="K461" i="1"/>
  <c r="J461" i="1"/>
  <c r="I461" i="1"/>
  <c r="H461" i="1"/>
  <c r="O448" i="1"/>
  <c r="N448" i="1"/>
  <c r="M448" i="1"/>
  <c r="K448" i="1"/>
  <c r="I448" i="1"/>
  <c r="H448" i="1"/>
  <c r="I445" i="1"/>
  <c r="I444" i="1"/>
  <c r="I443" i="1"/>
  <c r="O442" i="1"/>
  <c r="N442" i="1"/>
  <c r="M442" i="1"/>
  <c r="K442" i="1"/>
  <c r="I442" i="1"/>
  <c r="H442" i="1"/>
  <c r="O441" i="1"/>
  <c r="N441" i="1"/>
  <c r="M441" i="1"/>
  <c r="K441" i="1"/>
  <c r="I441" i="1"/>
  <c r="H441" i="1"/>
  <c r="I439" i="1"/>
  <c r="O438" i="1"/>
  <c r="N438" i="1"/>
  <c r="M438" i="1"/>
  <c r="K438" i="1"/>
  <c r="I438" i="1"/>
  <c r="H438" i="1"/>
  <c r="O437" i="1"/>
  <c r="N437" i="1"/>
  <c r="M437" i="1"/>
  <c r="K437" i="1"/>
  <c r="I437" i="1"/>
  <c r="H437" i="1"/>
  <c r="I435" i="1"/>
  <c r="I434" i="1"/>
  <c r="O433" i="1"/>
  <c r="N433" i="1"/>
  <c r="M433" i="1"/>
  <c r="K433" i="1"/>
  <c r="I433" i="1"/>
  <c r="H433" i="1"/>
  <c r="I431" i="1"/>
  <c r="I430" i="1"/>
  <c r="O429" i="1"/>
  <c r="N429" i="1"/>
  <c r="M429" i="1"/>
  <c r="K429" i="1"/>
  <c r="J429" i="1"/>
  <c r="I429" i="1"/>
  <c r="H429" i="1"/>
  <c r="I400" i="1"/>
  <c r="O399" i="1"/>
  <c r="N399" i="1"/>
  <c r="K399" i="1"/>
  <c r="I399" i="1"/>
  <c r="H399" i="1"/>
  <c r="O398" i="1"/>
  <c r="N398" i="1"/>
  <c r="K398" i="1"/>
  <c r="I398" i="1"/>
  <c r="H398" i="1"/>
  <c r="I397" i="1"/>
  <c r="O396" i="1"/>
  <c r="N396" i="1"/>
  <c r="K396" i="1"/>
  <c r="I396" i="1"/>
  <c r="H396" i="1"/>
  <c r="O395" i="1"/>
  <c r="N395" i="1"/>
  <c r="K395" i="1"/>
  <c r="I395" i="1"/>
  <c r="H395" i="1"/>
  <c r="O390" i="1"/>
  <c r="N390" i="1"/>
  <c r="K390" i="1"/>
  <c r="I390" i="1"/>
  <c r="H390" i="1"/>
  <c r="O232" i="1"/>
  <c r="N232" i="1"/>
  <c r="M232" i="1"/>
  <c r="K232" i="1"/>
  <c r="J232" i="1"/>
  <c r="I232" i="1"/>
  <c r="H232" i="1"/>
  <c r="I224" i="1"/>
  <c r="I223" i="1"/>
  <c r="O222" i="1"/>
  <c r="N222" i="1"/>
  <c r="M222" i="1"/>
  <c r="K222" i="1"/>
  <c r="J222" i="1"/>
  <c r="I222" i="1"/>
  <c r="H222" i="1"/>
  <c r="O217" i="1"/>
  <c r="N217" i="1"/>
  <c r="M217" i="1"/>
  <c r="K217" i="1"/>
  <c r="J217" i="1"/>
  <c r="I217" i="1"/>
  <c r="H217" i="1"/>
  <c r="O216" i="1"/>
  <c r="N216" i="1"/>
  <c r="M216" i="1"/>
  <c r="K216" i="1"/>
  <c r="J216" i="1"/>
  <c r="I216" i="1"/>
  <c r="H216" i="1"/>
  <c r="I215" i="1"/>
  <c r="O214" i="1"/>
  <c r="N214" i="1"/>
  <c r="M214" i="1"/>
  <c r="K214" i="1"/>
  <c r="J214" i="1"/>
  <c r="I214" i="1"/>
  <c r="H214" i="1"/>
  <c r="O213" i="1"/>
  <c r="N213" i="1"/>
  <c r="M213" i="1"/>
  <c r="K213" i="1"/>
  <c r="J213" i="1"/>
  <c r="I213" i="1"/>
  <c r="H213" i="1"/>
  <c r="O210" i="1"/>
  <c r="N210" i="1"/>
  <c r="M210" i="1"/>
  <c r="K210" i="1"/>
  <c r="J210" i="1"/>
  <c r="I210" i="1"/>
  <c r="H210" i="1"/>
  <c r="O205" i="1"/>
  <c r="N205" i="1"/>
  <c r="M205" i="1"/>
  <c r="K205" i="1"/>
  <c r="J205" i="1"/>
  <c r="I205" i="1"/>
  <c r="H205" i="1"/>
  <c r="I204" i="1"/>
  <c r="O203" i="1"/>
  <c r="N203" i="1"/>
  <c r="M203" i="1"/>
  <c r="K203" i="1"/>
  <c r="J203" i="1"/>
  <c r="I203" i="1"/>
  <c r="H203" i="1"/>
  <c r="O200" i="1"/>
  <c r="N200" i="1"/>
  <c r="M200" i="1"/>
  <c r="K200" i="1"/>
  <c r="J200" i="1"/>
  <c r="I200" i="1"/>
  <c r="H200" i="1"/>
  <c r="J122" i="1"/>
  <c r="I122" i="1"/>
  <c r="O29" i="1"/>
  <c r="N29" i="1"/>
  <c r="M29" i="1"/>
  <c r="K29" i="1"/>
  <c r="J29" i="1"/>
  <c r="I29" i="1"/>
  <c r="H29" i="1"/>
  <c r="J23" i="1"/>
  <c r="H23" i="1"/>
  <c r="I23" i="1" s="1"/>
  <c r="O22" i="1"/>
  <c r="N22" i="1"/>
  <c r="M22" i="1"/>
  <c r="K22" i="1"/>
  <c r="J22" i="1"/>
  <c r="I22" i="1"/>
  <c r="H22" i="1"/>
  <c r="N667" i="1" l="1"/>
  <c r="K667" i="1"/>
  <c r="K431" i="1"/>
  <c r="N400" i="1"/>
  <c r="K430" i="1"/>
  <c r="N430" i="1"/>
  <c r="N431" i="1"/>
  <c r="K400" i="1"/>
  <c r="N397" i="1"/>
  <c r="K397" i="1"/>
  <c r="K434" i="1"/>
  <c r="N434" i="1"/>
  <c r="K435" i="1"/>
  <c r="N435" i="1"/>
  <c r="K445" i="1"/>
  <c r="N445" i="1"/>
  <c r="K444" i="1"/>
  <c r="K443" i="1"/>
  <c r="N443" i="1"/>
  <c r="N444" i="1"/>
  <c r="N204" i="1"/>
  <c r="K204" i="1"/>
  <c r="N439" i="1"/>
  <c r="K439" i="1"/>
  <c r="N479" i="1"/>
  <c r="K482" i="1"/>
  <c r="N482" i="1"/>
  <c r="K479" i="1"/>
  <c r="K476" i="1"/>
  <c r="N472" i="1"/>
  <c r="N475" i="1"/>
  <c r="K475" i="1"/>
  <c r="K472" i="1"/>
  <c r="N465" i="1"/>
  <c r="K465" i="1"/>
  <c r="K468" i="1"/>
  <c r="N468" i="1"/>
  <c r="K469" i="1"/>
  <c r="N469" i="1"/>
  <c r="N476" i="1"/>
  <c r="K721" i="1"/>
  <c r="N721" i="1"/>
  <c r="N727" i="1"/>
  <c r="K726" i="1"/>
  <c r="N726" i="1"/>
  <c r="K727" i="1"/>
  <c r="K838" i="1"/>
  <c r="N838" i="1"/>
  <c r="K813" i="1"/>
  <c r="K847" i="1"/>
  <c r="J849" i="1" s="1"/>
  <c r="N847" i="1"/>
  <c r="K831" i="1"/>
  <c r="N831" i="1"/>
  <c r="K806" i="1"/>
  <c r="N813" i="1"/>
  <c r="N812" i="1"/>
  <c r="K812" i="1"/>
  <c r="K809" i="1"/>
  <c r="N809" i="1"/>
  <c r="N806" i="1"/>
  <c r="K796" i="1"/>
  <c r="N796" i="1"/>
  <c r="K710" i="1"/>
  <c r="N710" i="1"/>
  <c r="N690" i="1"/>
  <c r="K690" i="1"/>
  <c r="N670" i="1"/>
  <c r="K671" i="1"/>
  <c r="N671" i="1"/>
  <c r="K670" i="1"/>
  <c r="K678" i="1"/>
  <c r="N678" i="1"/>
  <c r="N224" i="1"/>
  <c r="K223" i="1"/>
  <c r="K224" i="1"/>
  <c r="N223" i="1"/>
  <c r="N215" i="1"/>
  <c r="K215" i="1"/>
  <c r="N122" i="1"/>
  <c r="P201" i="1" s="1"/>
  <c r="K122" i="1"/>
  <c r="J201" i="1" s="1"/>
  <c r="P763" i="1"/>
  <c r="N23" i="1"/>
  <c r="K23" i="1"/>
  <c r="J763" i="1"/>
  <c r="D22" i="2" s="1"/>
  <c r="F22" i="2" s="1"/>
  <c r="J19" i="1"/>
  <c r="D6" i="2" s="1"/>
  <c r="J230" i="1" l="1"/>
  <c r="P230" i="1"/>
  <c r="J427" i="1"/>
  <c r="P427" i="1"/>
  <c r="J27" i="1"/>
  <c r="P27" i="1"/>
  <c r="F6" i="2"/>
  <c r="P231" i="1"/>
  <c r="O231" i="1"/>
  <c r="N231" i="1"/>
  <c r="M231" i="1"/>
  <c r="K231" i="1"/>
  <c r="J851" i="1" s="1"/>
  <c r="J231" i="1"/>
  <c r="I231" i="1"/>
  <c r="H231" i="1"/>
  <c r="R853" i="1" l="1"/>
  <c r="P723" i="1"/>
  <c r="P718" i="1"/>
  <c r="J723" i="1"/>
  <c r="D17" i="2" s="1"/>
  <c r="P462" i="1"/>
  <c r="P849" i="1"/>
  <c r="J462" i="1"/>
  <c r="D13" i="2" s="1"/>
  <c r="P739" i="1"/>
  <c r="P803" i="1"/>
  <c r="P844" i="1"/>
  <c r="D27" i="2"/>
  <c r="J718" i="1"/>
  <c r="D16" i="2" s="1"/>
  <c r="D11" i="2"/>
  <c r="D12" i="2"/>
  <c r="J739" i="1"/>
  <c r="D18" i="2" s="1"/>
  <c r="J803" i="1"/>
  <c r="D25" i="2" s="1"/>
  <c r="J844" i="1"/>
  <c r="D26" i="2" s="1"/>
  <c r="P211" i="1"/>
  <c r="J490" i="1"/>
  <c r="D14" i="2" s="1"/>
  <c r="J211" i="1"/>
  <c r="P490" i="1" l="1"/>
  <c r="D10" i="2" l="1"/>
  <c r="D9" i="2"/>
  <c r="F19" i="2" l="1"/>
  <c r="F10" i="2"/>
  <c r="F9" i="2"/>
  <c r="F27" i="2" l="1"/>
  <c r="F12" i="2"/>
  <c r="F25" i="2"/>
  <c r="F13" i="2"/>
  <c r="F26" i="2" l="1"/>
  <c r="D8" i="2" l="1"/>
  <c r="F16" i="2" l="1"/>
  <c r="F11" i="2" l="1"/>
  <c r="F8" i="2"/>
  <c r="F18" i="2"/>
  <c r="F17" i="2"/>
  <c r="P713" i="1" l="1"/>
  <c r="J713" i="1"/>
  <c r="D15" i="2" s="1"/>
  <c r="D29" i="2" l="1"/>
  <c r="E32" i="2" s="1"/>
  <c r="E33" i="2" s="1"/>
  <c r="F14" i="2"/>
  <c r="F15" i="2" l="1"/>
  <c r="F29" i="2" s="1"/>
  <c r="L38" i="2" l="1"/>
  <c r="L39" i="2" s="1"/>
  <c r="L721" i="1" l="1"/>
  <c r="O721" i="1" s="1"/>
  <c r="O716" i="1"/>
  <c r="L400" i="1"/>
  <c r="O400" i="1" s="1"/>
  <c r="P400" i="1" s="1"/>
  <c r="Q400" i="1" s="1"/>
  <c r="L667" i="1"/>
  <c r="O667" i="1" s="1"/>
  <c r="P667" i="1" s="1"/>
  <c r="Q667" i="1" s="1"/>
  <c r="L17" i="1"/>
  <c r="L753" i="1"/>
  <c r="O753" i="1" s="1"/>
  <c r="P753" i="1" s="1"/>
  <c r="Q753" i="1" s="1"/>
  <c r="L847" i="1"/>
  <c r="O847" i="1" s="1"/>
  <c r="L228" i="1"/>
  <c r="O228" i="1" s="1"/>
  <c r="P228" i="1" s="1"/>
  <c r="Q228" i="1" s="1"/>
  <c r="L704" i="1" l="1"/>
  <c r="O704" i="1" s="1"/>
  <c r="P704" i="1" s="1"/>
  <c r="Q704" i="1" s="1"/>
  <c r="L707" i="1"/>
  <c r="O707" i="1" s="1"/>
  <c r="P707" i="1" s="1"/>
  <c r="Q707" i="1" s="1"/>
  <c r="L708" i="1"/>
  <c r="O708" i="1" s="1"/>
  <c r="P708" i="1" s="1"/>
  <c r="Q708" i="1" s="1"/>
  <c r="L430" i="1"/>
  <c r="O430" i="1" s="1"/>
  <c r="P430" i="1" s="1"/>
  <c r="Q430" i="1" s="1"/>
  <c r="L431" i="1"/>
  <c r="O431" i="1" s="1"/>
  <c r="P431" i="1" s="1"/>
  <c r="Q431" i="1" s="1"/>
  <c r="L312" i="1"/>
  <c r="O312" i="1" s="1"/>
  <c r="P312" i="1" s="1"/>
  <c r="Q312" i="1" s="1"/>
  <c r="L375" i="1"/>
  <c r="O375" i="1" s="1"/>
  <c r="P375" i="1" s="1"/>
  <c r="Q375" i="1" s="1"/>
  <c r="L376" i="1"/>
  <c r="O376" i="1" s="1"/>
  <c r="P376" i="1" s="1"/>
  <c r="Q376" i="1" s="1"/>
  <c r="L237" i="1"/>
  <c r="O237" i="1" s="1"/>
  <c r="P237" i="1" s="1"/>
  <c r="Q237" i="1" s="1"/>
  <c r="L393" i="1"/>
  <c r="O393" i="1" s="1"/>
  <c r="P393" i="1" s="1"/>
  <c r="Q393" i="1" s="1"/>
  <c r="L394" i="1"/>
  <c r="O394" i="1" s="1"/>
  <c r="P394" i="1" s="1"/>
  <c r="Q394" i="1" s="1"/>
  <c r="L392" i="1"/>
  <c r="O392" i="1" s="1"/>
  <c r="P392" i="1" s="1"/>
  <c r="Q392" i="1" s="1"/>
  <c r="L454" i="1"/>
  <c r="O454" i="1" s="1"/>
  <c r="P454" i="1" s="1"/>
  <c r="Q454" i="1" s="1"/>
  <c r="L460" i="1"/>
  <c r="O460" i="1" s="1"/>
  <c r="P460" i="1" s="1"/>
  <c r="Q460" i="1" s="1"/>
  <c r="L455" i="1"/>
  <c r="O455" i="1" s="1"/>
  <c r="P455" i="1" s="1"/>
  <c r="Q455" i="1" s="1"/>
  <c r="O457" i="1"/>
  <c r="P457" i="1" s="1"/>
  <c r="Q457" i="1" s="1"/>
  <c r="L459" i="1"/>
  <c r="O459" i="1" s="1"/>
  <c r="P459" i="1" s="1"/>
  <c r="Q459" i="1" s="1"/>
  <c r="L456" i="1"/>
  <c r="O456" i="1" s="1"/>
  <c r="P456" i="1" s="1"/>
  <c r="Q456" i="1" s="1"/>
  <c r="L458" i="1"/>
  <c r="O458" i="1" s="1"/>
  <c r="P458" i="1" s="1"/>
  <c r="Q458" i="1" s="1"/>
  <c r="L379" i="1"/>
  <c r="O379" i="1" s="1"/>
  <c r="P379" i="1" s="1"/>
  <c r="Q379" i="1" s="1"/>
  <c r="L389" i="1"/>
  <c r="O389" i="1" s="1"/>
  <c r="P389" i="1" s="1"/>
  <c r="Q389" i="1" s="1"/>
  <c r="L382" i="1"/>
  <c r="O382" i="1" s="1"/>
  <c r="P382" i="1" s="1"/>
  <c r="Q382" i="1" s="1"/>
  <c r="L388" i="1"/>
  <c r="O388" i="1" s="1"/>
  <c r="P388" i="1" s="1"/>
  <c r="Q388" i="1" s="1"/>
  <c r="L385" i="1"/>
  <c r="O385" i="1" s="1"/>
  <c r="P385" i="1" s="1"/>
  <c r="Q385" i="1" s="1"/>
  <c r="L397" i="1"/>
  <c r="O397" i="1" s="1"/>
  <c r="P397" i="1" s="1"/>
  <c r="Q397" i="1" s="1"/>
  <c r="L360" i="1"/>
  <c r="O360" i="1" s="1"/>
  <c r="P360" i="1" s="1"/>
  <c r="Q360" i="1" s="1"/>
  <c r="L359" i="1"/>
  <c r="O359" i="1" s="1"/>
  <c r="P359" i="1" s="1"/>
  <c r="Q359" i="1" s="1"/>
  <c r="L356" i="1"/>
  <c r="O356" i="1" s="1"/>
  <c r="P356" i="1" s="1"/>
  <c r="Q356" i="1" s="1"/>
  <c r="L371" i="1"/>
  <c r="O371" i="1" s="1"/>
  <c r="P371" i="1" s="1"/>
  <c r="Q371" i="1" s="1"/>
  <c r="L367" i="1"/>
  <c r="O367" i="1" s="1"/>
  <c r="P367" i="1" s="1"/>
  <c r="Q367" i="1" s="1"/>
  <c r="L365" i="1"/>
  <c r="O365" i="1" s="1"/>
  <c r="P365" i="1" s="1"/>
  <c r="Q365" i="1" s="1"/>
  <c r="L364" i="1"/>
  <c r="O364" i="1" s="1"/>
  <c r="P364" i="1" s="1"/>
  <c r="Q364" i="1" s="1"/>
  <c r="L366" i="1"/>
  <c r="O366" i="1" s="1"/>
  <c r="P366" i="1" s="1"/>
  <c r="Q366" i="1" s="1"/>
  <c r="L352" i="1"/>
  <c r="O352" i="1" s="1"/>
  <c r="P352" i="1" s="1"/>
  <c r="Q352" i="1" s="1"/>
  <c r="L346" i="1"/>
  <c r="O346" i="1" s="1"/>
  <c r="P346" i="1" s="1"/>
  <c r="Q346" i="1" s="1"/>
  <c r="L342" i="1"/>
  <c r="O342" i="1" s="1"/>
  <c r="P342" i="1" s="1"/>
  <c r="Q342" i="1" s="1"/>
  <c r="L338" i="1"/>
  <c r="O338" i="1" s="1"/>
  <c r="P338" i="1" s="1"/>
  <c r="Q338" i="1" s="1"/>
  <c r="L339" i="1"/>
  <c r="O339" i="1" s="1"/>
  <c r="P339" i="1" s="1"/>
  <c r="Q339" i="1" s="1"/>
  <c r="L343" i="1"/>
  <c r="O343" i="1" s="1"/>
  <c r="P343" i="1" s="1"/>
  <c r="Q343" i="1" s="1"/>
  <c r="L349" i="1"/>
  <c r="O349" i="1" s="1"/>
  <c r="P349" i="1" s="1"/>
  <c r="Q349" i="1" s="1"/>
  <c r="O328" i="1"/>
  <c r="P328" i="1" s="1"/>
  <c r="Q328" i="1" s="1"/>
  <c r="L332" i="1"/>
  <c r="O332" i="1" s="1"/>
  <c r="P332" i="1" s="1"/>
  <c r="Q332" i="1" s="1"/>
  <c r="L333" i="1"/>
  <c r="O333" i="1" s="1"/>
  <c r="P333" i="1" s="1"/>
  <c r="Q333" i="1" s="1"/>
  <c r="L318" i="1"/>
  <c r="O318" i="1" s="1"/>
  <c r="P318" i="1" s="1"/>
  <c r="Q318" i="1" s="1"/>
  <c r="L321" i="1"/>
  <c r="O321" i="1" s="1"/>
  <c r="P321" i="1" s="1"/>
  <c r="Q321" i="1" s="1"/>
  <c r="L322" i="1"/>
  <c r="O322" i="1" s="1"/>
  <c r="P322" i="1" s="1"/>
  <c r="Q322" i="1" s="1"/>
  <c r="L325" i="1"/>
  <c r="O325" i="1" s="1"/>
  <c r="P325" i="1" s="1"/>
  <c r="Q325" i="1" s="1"/>
  <c r="L313" i="1"/>
  <c r="O313" i="1" s="1"/>
  <c r="P313" i="1" s="1"/>
  <c r="Q313" i="1" s="1"/>
  <c r="L409" i="1"/>
  <c r="O409" i="1" s="1"/>
  <c r="P409" i="1" s="1"/>
  <c r="Q409" i="1" s="1"/>
  <c r="L309" i="1"/>
  <c r="O309" i="1" s="1"/>
  <c r="P309" i="1" s="1"/>
  <c r="Q309" i="1" s="1"/>
  <c r="L307" i="1"/>
  <c r="O307" i="1" s="1"/>
  <c r="P307" i="1" s="1"/>
  <c r="Q307" i="1" s="1"/>
  <c r="L308" i="1"/>
  <c r="O308" i="1" s="1"/>
  <c r="P308" i="1" s="1"/>
  <c r="Q308" i="1" s="1"/>
  <c r="L299" i="1"/>
  <c r="O299" i="1" s="1"/>
  <c r="P299" i="1" s="1"/>
  <c r="Q299" i="1" s="1"/>
  <c r="L300" i="1"/>
  <c r="O300" i="1" s="1"/>
  <c r="P300" i="1" s="1"/>
  <c r="Q300" i="1" s="1"/>
  <c r="L284" i="1"/>
  <c r="O284" i="1" s="1"/>
  <c r="P284" i="1" s="1"/>
  <c r="Q284" i="1" s="1"/>
  <c r="L285" i="1"/>
  <c r="O285" i="1" s="1"/>
  <c r="P285" i="1" s="1"/>
  <c r="Q285" i="1" s="1"/>
  <c r="L295" i="1"/>
  <c r="O295" i="1" s="1"/>
  <c r="P295" i="1" s="1"/>
  <c r="Q295" i="1" s="1"/>
  <c r="L293" i="1"/>
  <c r="O293" i="1" s="1"/>
  <c r="P293" i="1" s="1"/>
  <c r="Q293" i="1" s="1"/>
  <c r="L294" i="1"/>
  <c r="O294" i="1" s="1"/>
  <c r="P294" i="1" s="1"/>
  <c r="Q294" i="1" s="1"/>
  <c r="L290" i="1"/>
  <c r="O290" i="1" s="1"/>
  <c r="P290" i="1" s="1"/>
  <c r="Q290" i="1" s="1"/>
  <c r="L289" i="1"/>
  <c r="O289" i="1" s="1"/>
  <c r="P289" i="1" s="1"/>
  <c r="Q289" i="1" s="1"/>
  <c r="L280" i="1"/>
  <c r="O280" i="1" s="1"/>
  <c r="P280" i="1" s="1"/>
  <c r="Q280" i="1" s="1"/>
  <c r="L277" i="1"/>
  <c r="O277" i="1" s="1"/>
  <c r="P277" i="1" s="1"/>
  <c r="Q277" i="1" s="1"/>
  <c r="L278" i="1"/>
  <c r="O278" i="1" s="1"/>
  <c r="P278" i="1" s="1"/>
  <c r="Q278" i="1" s="1"/>
  <c r="L279" i="1"/>
  <c r="O279" i="1" s="1"/>
  <c r="P279" i="1" s="1"/>
  <c r="Q279" i="1" s="1"/>
  <c r="L276" i="1"/>
  <c r="O276" i="1" s="1"/>
  <c r="P276" i="1" s="1"/>
  <c r="Q276" i="1" s="1"/>
  <c r="L266" i="1"/>
  <c r="O266" i="1" s="1"/>
  <c r="P266" i="1" s="1"/>
  <c r="Q266" i="1" s="1"/>
  <c r="L272" i="1"/>
  <c r="O272" i="1" s="1"/>
  <c r="P272" i="1" s="1"/>
  <c r="Q272" i="1" s="1"/>
  <c r="L271" i="1"/>
  <c r="O271" i="1" s="1"/>
  <c r="P271" i="1" s="1"/>
  <c r="Q271" i="1" s="1"/>
  <c r="L269" i="1"/>
  <c r="O269" i="1" s="1"/>
  <c r="P269" i="1" s="1"/>
  <c r="Q269" i="1" s="1"/>
  <c r="L270" i="1"/>
  <c r="O270" i="1" s="1"/>
  <c r="P270" i="1" s="1"/>
  <c r="Q270" i="1" s="1"/>
  <c r="L246" i="1"/>
  <c r="O246" i="1" s="1"/>
  <c r="P246" i="1" s="1"/>
  <c r="Q246" i="1" s="1"/>
  <c r="L262" i="1"/>
  <c r="O262" i="1" s="1"/>
  <c r="P262" i="1" s="1"/>
  <c r="Q262" i="1" s="1"/>
  <c r="L260" i="1"/>
  <c r="O260" i="1" s="1"/>
  <c r="P260" i="1" s="1"/>
  <c r="Q260" i="1" s="1"/>
  <c r="L258" i="1"/>
  <c r="O258" i="1" s="1"/>
  <c r="P258" i="1" s="1"/>
  <c r="Q258" i="1" s="1"/>
  <c r="L252" i="1"/>
  <c r="O252" i="1" s="1"/>
  <c r="P252" i="1" s="1"/>
  <c r="Q252" i="1" s="1"/>
  <c r="L261" i="1"/>
  <c r="O261" i="1" s="1"/>
  <c r="P261" i="1" s="1"/>
  <c r="Q261" i="1" s="1"/>
  <c r="L259" i="1"/>
  <c r="O259" i="1" s="1"/>
  <c r="P259" i="1" s="1"/>
  <c r="Q259" i="1" s="1"/>
  <c r="L255" i="1"/>
  <c r="O255" i="1" s="1"/>
  <c r="P255" i="1" s="1"/>
  <c r="Q255" i="1" s="1"/>
  <c r="L249" i="1"/>
  <c r="O249" i="1" s="1"/>
  <c r="P249" i="1" s="1"/>
  <c r="Q249" i="1" s="1"/>
  <c r="L425" i="1"/>
  <c r="O425" i="1" s="1"/>
  <c r="P425" i="1" s="1"/>
  <c r="Q425" i="1" s="1"/>
  <c r="O240" i="1"/>
  <c r="P240" i="1" s="1"/>
  <c r="Q240" i="1" s="1"/>
  <c r="L234" i="1"/>
  <c r="O234" i="1" s="1"/>
  <c r="O241" i="1"/>
  <c r="P241" i="1" s="1"/>
  <c r="Q241" i="1" s="1"/>
  <c r="L243" i="1"/>
  <c r="O243" i="1" s="1"/>
  <c r="P243" i="1" s="1"/>
  <c r="Q243" i="1" s="1"/>
  <c r="L408" i="1"/>
  <c r="O408" i="1" s="1"/>
  <c r="P408" i="1" s="1"/>
  <c r="Q408" i="1" s="1"/>
  <c r="L422" i="1"/>
  <c r="O422" i="1" s="1"/>
  <c r="P422" i="1" s="1"/>
  <c r="Q422" i="1" s="1"/>
  <c r="L416" i="1"/>
  <c r="O416" i="1" s="1"/>
  <c r="P416" i="1" s="1"/>
  <c r="Q416" i="1" s="1"/>
  <c r="L414" i="1"/>
  <c r="O414" i="1" s="1"/>
  <c r="P414" i="1" s="1"/>
  <c r="Q414" i="1" s="1"/>
  <c r="L413" i="1"/>
  <c r="O413" i="1" s="1"/>
  <c r="P413" i="1" s="1"/>
  <c r="Q413" i="1" s="1"/>
  <c r="L419" i="1"/>
  <c r="O419" i="1" s="1"/>
  <c r="P419" i="1" s="1"/>
  <c r="Q419" i="1" s="1"/>
  <c r="L415" i="1"/>
  <c r="O415" i="1" s="1"/>
  <c r="P415" i="1" s="1"/>
  <c r="Q415" i="1" s="1"/>
  <c r="L453" i="1"/>
  <c r="O453" i="1" s="1"/>
  <c r="P453" i="1" s="1"/>
  <c r="Q453" i="1" s="1"/>
  <c r="L436" i="1"/>
  <c r="O436" i="1" s="1"/>
  <c r="P436" i="1" s="1"/>
  <c r="Q436" i="1" s="1"/>
  <c r="L434" i="1"/>
  <c r="O434" i="1" s="1"/>
  <c r="P434" i="1" s="1"/>
  <c r="Q434" i="1" s="1"/>
  <c r="L435" i="1"/>
  <c r="O435" i="1" s="1"/>
  <c r="P435" i="1" s="1"/>
  <c r="Q435" i="1" s="1"/>
  <c r="L405" i="1"/>
  <c r="O405" i="1" s="1"/>
  <c r="P405" i="1" s="1"/>
  <c r="Q405" i="1" s="1"/>
  <c r="L406" i="1"/>
  <c r="O406" i="1" s="1"/>
  <c r="P406" i="1" s="1"/>
  <c r="Q406" i="1" s="1"/>
  <c r="O402" i="1"/>
  <c r="P402" i="1" s="1"/>
  <c r="Q402" i="1" s="1"/>
  <c r="L407" i="1"/>
  <c r="O407" i="1" s="1"/>
  <c r="P407" i="1" s="1"/>
  <c r="Q407" i="1" s="1"/>
  <c r="O401" i="1"/>
  <c r="P401" i="1" s="1"/>
  <c r="Q401" i="1" s="1"/>
  <c r="L439" i="1"/>
  <c r="O439" i="1" s="1"/>
  <c r="P439" i="1" s="1"/>
  <c r="Q439" i="1" s="1"/>
  <c r="L450" i="1"/>
  <c r="O450" i="1" s="1"/>
  <c r="P450" i="1" s="1"/>
  <c r="Q450" i="1" s="1"/>
  <c r="L451" i="1"/>
  <c r="O451" i="1" s="1"/>
  <c r="P451" i="1" s="1"/>
  <c r="Q451" i="1" s="1"/>
  <c r="L452" i="1"/>
  <c r="O452" i="1" s="1"/>
  <c r="P452" i="1" s="1"/>
  <c r="Q452" i="1" s="1"/>
  <c r="L449" i="1"/>
  <c r="O449" i="1" s="1"/>
  <c r="P449" i="1" s="1"/>
  <c r="Q449" i="1" s="1"/>
  <c r="L443" i="1"/>
  <c r="O443" i="1" s="1"/>
  <c r="P443" i="1" s="1"/>
  <c r="Q443" i="1" s="1"/>
  <c r="L444" i="1"/>
  <c r="O444" i="1" s="1"/>
  <c r="P444" i="1" s="1"/>
  <c r="Q444" i="1" s="1"/>
  <c r="L445" i="1"/>
  <c r="O445" i="1" s="1"/>
  <c r="P445" i="1" s="1"/>
  <c r="Q445" i="1" s="1"/>
  <c r="L209" i="1"/>
  <c r="O209" i="1" s="1"/>
  <c r="P209" i="1" s="1"/>
  <c r="Q209" i="1" s="1"/>
  <c r="L207" i="1"/>
  <c r="O207" i="1" s="1"/>
  <c r="P207" i="1" s="1"/>
  <c r="Q207" i="1" s="1"/>
  <c r="L208" i="1"/>
  <c r="O208" i="1" s="1"/>
  <c r="P208" i="1" s="1"/>
  <c r="Q208" i="1" s="1"/>
  <c r="L204" i="1"/>
  <c r="O204" i="1" s="1"/>
  <c r="L485" i="1"/>
  <c r="O485" i="1" s="1"/>
  <c r="P485" i="1" s="1"/>
  <c r="Q485" i="1" s="1"/>
  <c r="L488" i="1"/>
  <c r="O488" i="1" s="1"/>
  <c r="P488" i="1" s="1"/>
  <c r="Q488" i="1" s="1"/>
  <c r="L487" i="1"/>
  <c r="O487" i="1" s="1"/>
  <c r="P487" i="1" s="1"/>
  <c r="Q487" i="1" s="1"/>
  <c r="L486" i="1"/>
  <c r="O486" i="1" s="1"/>
  <c r="P486" i="1" s="1"/>
  <c r="Q486" i="1" s="1"/>
  <c r="L479" i="1"/>
  <c r="O479" i="1" s="1"/>
  <c r="P479" i="1" s="1"/>
  <c r="Q479" i="1" s="1"/>
  <c r="L482" i="1"/>
  <c r="O482" i="1" s="1"/>
  <c r="P482" i="1" s="1"/>
  <c r="Q482" i="1" s="1"/>
  <c r="L465" i="1"/>
  <c r="O465" i="1" s="1"/>
  <c r="L472" i="1"/>
  <c r="O472" i="1" s="1"/>
  <c r="P472" i="1" s="1"/>
  <c r="Q472" i="1" s="1"/>
  <c r="L475" i="1"/>
  <c r="O475" i="1" s="1"/>
  <c r="P475" i="1" s="1"/>
  <c r="Q475" i="1" s="1"/>
  <c r="L476" i="1"/>
  <c r="O476" i="1" s="1"/>
  <c r="P476" i="1" s="1"/>
  <c r="Q476" i="1" s="1"/>
  <c r="L468" i="1"/>
  <c r="O468" i="1" s="1"/>
  <c r="P468" i="1" s="1"/>
  <c r="Q468" i="1" s="1"/>
  <c r="L469" i="1"/>
  <c r="O469" i="1" s="1"/>
  <c r="P469" i="1" s="1"/>
  <c r="Q469" i="1" s="1"/>
  <c r="L730" i="1"/>
  <c r="O730" i="1" s="1"/>
  <c r="P730" i="1" s="1"/>
  <c r="Q730" i="1" s="1"/>
  <c r="L737" i="1"/>
  <c r="O737" i="1" s="1"/>
  <c r="P737" i="1" s="1"/>
  <c r="Q737" i="1" s="1"/>
  <c r="L733" i="1"/>
  <c r="O733" i="1" s="1"/>
  <c r="P733" i="1" s="1"/>
  <c r="Q733" i="1" s="1"/>
  <c r="L734" i="1"/>
  <c r="O734" i="1" s="1"/>
  <c r="P734" i="1" s="1"/>
  <c r="Q734" i="1" s="1"/>
  <c r="P716" i="1"/>
  <c r="Q716" i="1" s="1"/>
  <c r="R718" i="1" s="1"/>
  <c r="M718" i="1"/>
  <c r="E16" i="2" s="1"/>
  <c r="G16" i="2" s="1"/>
  <c r="H16" i="2" s="1"/>
  <c r="P721" i="1"/>
  <c r="Q721" i="1" s="1"/>
  <c r="R723" i="1" s="1"/>
  <c r="M723" i="1"/>
  <c r="E17" i="2" s="1"/>
  <c r="L726" i="1"/>
  <c r="O726" i="1" s="1"/>
  <c r="L727" i="1"/>
  <c r="O727" i="1" s="1"/>
  <c r="P727" i="1" s="1"/>
  <c r="Q727" i="1" s="1"/>
  <c r="L842" i="1"/>
  <c r="O842" i="1" s="1"/>
  <c r="P842" i="1" s="1"/>
  <c r="Q842" i="1" s="1"/>
  <c r="L839" i="1"/>
  <c r="O839" i="1" s="1"/>
  <c r="P839" i="1" s="1"/>
  <c r="Q839" i="1" s="1"/>
  <c r="L841" i="1"/>
  <c r="O841" i="1" s="1"/>
  <c r="P841" i="1" s="1"/>
  <c r="Q841" i="1" s="1"/>
  <c r="L840" i="1"/>
  <c r="O840" i="1" s="1"/>
  <c r="P840" i="1" s="1"/>
  <c r="Q840" i="1" s="1"/>
  <c r="L838" i="1"/>
  <c r="O838" i="1" s="1"/>
  <c r="P838" i="1" s="1"/>
  <c r="Q838" i="1" s="1"/>
  <c r="L831" i="1"/>
  <c r="O831" i="1" s="1"/>
  <c r="P831" i="1" s="1"/>
  <c r="Q831" i="1" s="1"/>
  <c r="L834" i="1"/>
  <c r="O834" i="1" s="1"/>
  <c r="P834" i="1" s="1"/>
  <c r="Q834" i="1" s="1"/>
  <c r="P847" i="1"/>
  <c r="Q847" i="1" s="1"/>
  <c r="R849" i="1" s="1"/>
  <c r="M849" i="1"/>
  <c r="E27" i="2" s="1"/>
  <c r="L796" i="1"/>
  <c r="O796" i="1" s="1"/>
  <c r="P796" i="1" s="1"/>
  <c r="Q796" i="1" s="1"/>
  <c r="L801" i="1"/>
  <c r="O801" i="1" s="1"/>
  <c r="P801" i="1" s="1"/>
  <c r="Q801" i="1" s="1"/>
  <c r="L800" i="1"/>
  <c r="O800" i="1" s="1"/>
  <c r="P800" i="1" s="1"/>
  <c r="Q800" i="1" s="1"/>
  <c r="L806" i="1"/>
  <c r="O806" i="1" s="1"/>
  <c r="L812" i="1"/>
  <c r="O812" i="1" s="1"/>
  <c r="P812" i="1" s="1"/>
  <c r="Q812" i="1" s="1"/>
  <c r="L813" i="1"/>
  <c r="O813" i="1" s="1"/>
  <c r="P813" i="1" s="1"/>
  <c r="Q813" i="1" s="1"/>
  <c r="L809" i="1"/>
  <c r="O809" i="1" s="1"/>
  <c r="P809" i="1" s="1"/>
  <c r="Q809" i="1" s="1"/>
  <c r="L748" i="1"/>
  <c r="O748" i="1" s="1"/>
  <c r="L749" i="1"/>
  <c r="O749" i="1" s="1"/>
  <c r="P749" i="1" s="1"/>
  <c r="Q749" i="1" s="1"/>
  <c r="L750" i="1"/>
  <c r="O750" i="1" s="1"/>
  <c r="P750" i="1" s="1"/>
  <c r="Q750" i="1" s="1"/>
  <c r="L790" i="1"/>
  <c r="O790" i="1" s="1"/>
  <c r="P790" i="1" s="1"/>
  <c r="Q790" i="1" s="1"/>
  <c r="L774" i="1"/>
  <c r="O774" i="1" s="1"/>
  <c r="P774" i="1" s="1"/>
  <c r="Q774" i="1" s="1"/>
  <c r="L779" i="1"/>
  <c r="L787" i="1"/>
  <c r="O787" i="1" s="1"/>
  <c r="P787" i="1" s="1"/>
  <c r="Q787" i="1" s="1"/>
  <c r="L775" i="1"/>
  <c r="O775" i="1" s="1"/>
  <c r="P775" i="1" s="1"/>
  <c r="Q775" i="1" s="1"/>
  <c r="L783" i="1"/>
  <c r="O783" i="1" s="1"/>
  <c r="P783" i="1" s="1"/>
  <c r="Q783" i="1" s="1"/>
  <c r="L786" i="1"/>
  <c r="O786" i="1" s="1"/>
  <c r="P786" i="1" s="1"/>
  <c r="Q786" i="1" s="1"/>
  <c r="L782" i="1"/>
  <c r="O782" i="1" s="1"/>
  <c r="L776" i="1"/>
  <c r="O776" i="1" s="1"/>
  <c r="P776" i="1" s="1"/>
  <c r="Q776" i="1" s="1"/>
  <c r="L767" i="1"/>
  <c r="O767" i="1" s="1"/>
  <c r="P767" i="1" s="1"/>
  <c r="Q767" i="1" s="1"/>
  <c r="L768" i="1"/>
  <c r="O768" i="1" s="1"/>
  <c r="P768" i="1" s="1"/>
  <c r="Q768" i="1" s="1"/>
  <c r="L769" i="1"/>
  <c r="O769" i="1" s="1"/>
  <c r="P769" i="1" s="1"/>
  <c r="Q769" i="1" s="1"/>
  <c r="L770" i="1"/>
  <c r="O770" i="1" s="1"/>
  <c r="P770" i="1" s="1"/>
  <c r="Q770" i="1" s="1"/>
  <c r="L773" i="1"/>
  <c r="O773" i="1" s="1"/>
  <c r="P773" i="1" s="1"/>
  <c r="Q773" i="1" s="1"/>
  <c r="L766" i="1"/>
  <c r="O766" i="1" s="1"/>
  <c r="O711" i="1"/>
  <c r="P711" i="1" s="1"/>
  <c r="Q711" i="1" s="1"/>
  <c r="L710" i="1"/>
  <c r="O710" i="1" s="1"/>
  <c r="P710" i="1" s="1"/>
  <c r="Q710" i="1" s="1"/>
  <c r="L702" i="1"/>
  <c r="O702" i="1" s="1"/>
  <c r="P702" i="1" s="1"/>
  <c r="Q702" i="1" s="1"/>
  <c r="L701" i="1"/>
  <c r="O701" i="1" s="1"/>
  <c r="P701" i="1" s="1"/>
  <c r="Q701" i="1" s="1"/>
  <c r="L698" i="1"/>
  <c r="O698" i="1" s="1"/>
  <c r="P698" i="1" s="1"/>
  <c r="Q698" i="1" s="1"/>
  <c r="L697" i="1"/>
  <c r="O697" i="1" s="1"/>
  <c r="P697" i="1" s="1"/>
  <c r="Q697" i="1" s="1"/>
  <c r="L691" i="1"/>
  <c r="O691" i="1" s="1"/>
  <c r="P691" i="1" s="1"/>
  <c r="Q691" i="1" s="1"/>
  <c r="L692" i="1"/>
  <c r="O692" i="1" s="1"/>
  <c r="P692" i="1" s="1"/>
  <c r="Q692" i="1" s="1"/>
  <c r="L693" i="1"/>
  <c r="O693" i="1" s="1"/>
  <c r="P693" i="1" s="1"/>
  <c r="Q693" i="1" s="1"/>
  <c r="L690" i="1"/>
  <c r="O690" i="1" s="1"/>
  <c r="P690" i="1" s="1"/>
  <c r="Q690" i="1" s="1"/>
  <c r="L684" i="1"/>
  <c r="O684" i="1" s="1"/>
  <c r="P684" i="1" s="1"/>
  <c r="Q684" i="1" s="1"/>
  <c r="L683" i="1"/>
  <c r="O683" i="1" s="1"/>
  <c r="P683" i="1" s="1"/>
  <c r="Q683" i="1" s="1"/>
  <c r="L687" i="1"/>
  <c r="O687" i="1" s="1"/>
  <c r="P687" i="1" s="1"/>
  <c r="Q687" i="1" s="1"/>
  <c r="L675" i="1"/>
  <c r="O675" i="1" s="1"/>
  <c r="P675" i="1" s="1"/>
  <c r="Q675" i="1" s="1"/>
  <c r="L674" i="1"/>
  <c r="O674" i="1" s="1"/>
  <c r="P674" i="1" s="1"/>
  <c r="Q674" i="1" s="1"/>
  <c r="L670" i="1"/>
  <c r="O670" i="1" s="1"/>
  <c r="P670" i="1" s="1"/>
  <c r="Q670" i="1" s="1"/>
  <c r="L671" i="1"/>
  <c r="O671" i="1" s="1"/>
  <c r="P671" i="1" s="1"/>
  <c r="Q671" i="1" s="1"/>
  <c r="O680" i="1"/>
  <c r="P680" i="1" s="1"/>
  <c r="Q680" i="1" s="1"/>
  <c r="O679" i="1"/>
  <c r="P679" i="1" s="1"/>
  <c r="Q679" i="1" s="1"/>
  <c r="L678" i="1"/>
  <c r="O678" i="1" s="1"/>
  <c r="P678" i="1" s="1"/>
  <c r="Q678" i="1" s="1"/>
  <c r="L659" i="1"/>
  <c r="O659" i="1" s="1"/>
  <c r="P659" i="1" s="1"/>
  <c r="Q659" i="1" s="1"/>
  <c r="L661" i="1"/>
  <c r="O661" i="1" s="1"/>
  <c r="P661" i="1" s="1"/>
  <c r="Q661" i="1" s="1"/>
  <c r="L660" i="1"/>
  <c r="O660" i="1" s="1"/>
  <c r="P660" i="1" s="1"/>
  <c r="Q660" i="1" s="1"/>
  <c r="L658" i="1"/>
  <c r="O658" i="1" s="1"/>
  <c r="P658" i="1" s="1"/>
  <c r="Q658" i="1" s="1"/>
  <c r="L657" i="1"/>
  <c r="O657" i="1" s="1"/>
  <c r="P657" i="1" s="1"/>
  <c r="Q657" i="1" s="1"/>
  <c r="O647" i="1"/>
  <c r="P647" i="1" s="1"/>
  <c r="Q647" i="1" s="1"/>
  <c r="O646" i="1"/>
  <c r="P646" i="1" s="1"/>
  <c r="Q646" i="1" s="1"/>
  <c r="L654" i="1"/>
  <c r="O654" i="1" s="1"/>
  <c r="P654" i="1" s="1"/>
  <c r="Q654" i="1" s="1"/>
  <c r="L626" i="1"/>
  <c r="O626" i="1" s="1"/>
  <c r="P626" i="1" s="1"/>
  <c r="Q626" i="1" s="1"/>
  <c r="O618" i="1"/>
  <c r="P618" i="1" s="1"/>
  <c r="Q618" i="1" s="1"/>
  <c r="O625" i="1"/>
  <c r="P625" i="1" s="1"/>
  <c r="Q625" i="1" s="1"/>
  <c r="O653" i="1"/>
  <c r="P653" i="1" s="1"/>
  <c r="Q653" i="1" s="1"/>
  <c r="O612" i="1"/>
  <c r="P612" i="1" s="1"/>
  <c r="Q612" i="1" s="1"/>
  <c r="O606" i="1"/>
  <c r="P606" i="1" s="1"/>
  <c r="Q606" i="1" s="1"/>
  <c r="O600" i="1"/>
  <c r="P600" i="1" s="1"/>
  <c r="Q600" i="1" s="1"/>
  <c r="L593" i="1"/>
  <c r="O593" i="1" s="1"/>
  <c r="P593" i="1" s="1"/>
  <c r="Q593" i="1" s="1"/>
  <c r="O639" i="1"/>
  <c r="P639" i="1" s="1"/>
  <c r="Q639" i="1" s="1"/>
  <c r="O640" i="1"/>
  <c r="P640" i="1" s="1"/>
  <c r="Q640" i="1" s="1"/>
  <c r="L594" i="1"/>
  <c r="O594" i="1" s="1"/>
  <c r="P594" i="1" s="1"/>
  <c r="Q594" i="1" s="1"/>
  <c r="L582" i="1"/>
  <c r="O582" i="1" s="1"/>
  <c r="P582" i="1" s="1"/>
  <c r="Q582" i="1" s="1"/>
  <c r="L633" i="1"/>
  <c r="O633" i="1" s="1"/>
  <c r="P633" i="1" s="1"/>
  <c r="Q633" i="1" s="1"/>
  <c r="O523" i="1"/>
  <c r="P523" i="1" s="1"/>
  <c r="Q523" i="1" s="1"/>
  <c r="O632" i="1"/>
  <c r="P632" i="1" s="1"/>
  <c r="Q632" i="1" s="1"/>
  <c r="O522" i="1"/>
  <c r="P522" i="1" s="1"/>
  <c r="Q522" i="1" s="1"/>
  <c r="O515" i="1"/>
  <c r="P515" i="1" s="1"/>
  <c r="Q515" i="1" s="1"/>
  <c r="O514" i="1"/>
  <c r="P514" i="1" s="1"/>
  <c r="Q514" i="1" s="1"/>
  <c r="L575" i="1"/>
  <c r="O575" i="1" s="1"/>
  <c r="P575" i="1" s="1"/>
  <c r="Q575" i="1" s="1"/>
  <c r="O576" i="1"/>
  <c r="P576" i="1" s="1"/>
  <c r="Q576" i="1" s="1"/>
  <c r="O562" i="1"/>
  <c r="P562" i="1" s="1"/>
  <c r="Q562" i="1" s="1"/>
  <c r="O506" i="1"/>
  <c r="P506" i="1" s="1"/>
  <c r="Q506" i="1" s="1"/>
  <c r="O560" i="1"/>
  <c r="P560" i="1" s="1"/>
  <c r="Q560" i="1" s="1"/>
  <c r="O568" i="1"/>
  <c r="P568" i="1" s="1"/>
  <c r="Q568" i="1" s="1"/>
  <c r="O561" i="1"/>
  <c r="P561" i="1" s="1"/>
  <c r="Q561" i="1" s="1"/>
  <c r="O569" i="1"/>
  <c r="P569" i="1" s="1"/>
  <c r="Q569" i="1" s="1"/>
  <c r="O508" i="1"/>
  <c r="P508" i="1" s="1"/>
  <c r="Q508" i="1" s="1"/>
  <c r="O507" i="1"/>
  <c r="P507" i="1" s="1"/>
  <c r="Q507" i="1" s="1"/>
  <c r="O498" i="1"/>
  <c r="P498" i="1" s="1"/>
  <c r="Q498" i="1" s="1"/>
  <c r="L531" i="1"/>
  <c r="O531" i="1" s="1"/>
  <c r="P531" i="1" s="1"/>
  <c r="Q531" i="1" s="1"/>
  <c r="O552" i="1"/>
  <c r="P552" i="1" s="1"/>
  <c r="Q552" i="1" s="1"/>
  <c r="O538" i="1"/>
  <c r="P538" i="1" s="1"/>
  <c r="Q538" i="1" s="1"/>
  <c r="O553" i="1"/>
  <c r="P553" i="1" s="1"/>
  <c r="Q553" i="1" s="1"/>
  <c r="O546" i="1"/>
  <c r="P546" i="1" s="1"/>
  <c r="Q546" i="1" s="1"/>
  <c r="O554" i="1"/>
  <c r="P554" i="1" s="1"/>
  <c r="Q554" i="1" s="1"/>
  <c r="O545" i="1"/>
  <c r="P545" i="1" s="1"/>
  <c r="Q545" i="1" s="1"/>
  <c r="O544" i="1"/>
  <c r="P544" i="1" s="1"/>
  <c r="Q544" i="1" s="1"/>
  <c r="L532" i="1"/>
  <c r="O532" i="1" s="1"/>
  <c r="P532" i="1" s="1"/>
  <c r="Q532" i="1" s="1"/>
  <c r="O499" i="1"/>
  <c r="P499" i="1" s="1"/>
  <c r="Q499" i="1" s="1"/>
  <c r="O530" i="1"/>
  <c r="P530" i="1" s="1"/>
  <c r="Q530" i="1" s="1"/>
  <c r="O500" i="1"/>
  <c r="P500" i="1" s="1"/>
  <c r="Q500" i="1" s="1"/>
  <c r="L225" i="1"/>
  <c r="O225" i="1" s="1"/>
  <c r="P225" i="1" s="1"/>
  <c r="Q225" i="1" s="1"/>
  <c r="L223" i="1"/>
  <c r="O223" i="1" s="1"/>
  <c r="P223" i="1" s="1"/>
  <c r="Q223" i="1" s="1"/>
  <c r="L224" i="1"/>
  <c r="O224" i="1" s="1"/>
  <c r="P224" i="1" s="1"/>
  <c r="Q224" i="1" s="1"/>
  <c r="L215" i="1"/>
  <c r="O215" i="1" s="1"/>
  <c r="L221" i="1"/>
  <c r="O221" i="1" s="1"/>
  <c r="P221" i="1" s="1"/>
  <c r="Q221" i="1" s="1"/>
  <c r="L218" i="1"/>
  <c r="O218" i="1" s="1"/>
  <c r="P218" i="1" s="1"/>
  <c r="Q218" i="1" s="1"/>
  <c r="O99" i="1"/>
  <c r="P99" i="1" s="1"/>
  <c r="Q99" i="1" s="1"/>
  <c r="O98" i="1"/>
  <c r="P98" i="1" s="1"/>
  <c r="Q98" i="1" s="1"/>
  <c r="L102" i="1"/>
  <c r="O102" i="1" s="1"/>
  <c r="P102" i="1" s="1"/>
  <c r="Q102" i="1" s="1"/>
  <c r="L101" i="1"/>
  <c r="O101" i="1" s="1"/>
  <c r="P101" i="1" s="1"/>
  <c r="Q101" i="1" s="1"/>
  <c r="L100" i="1"/>
  <c r="O100" i="1" s="1"/>
  <c r="P100" i="1" s="1"/>
  <c r="Q100" i="1" s="1"/>
  <c r="L198" i="1"/>
  <c r="O198" i="1" s="1"/>
  <c r="P198" i="1" s="1"/>
  <c r="Q198" i="1" s="1"/>
  <c r="O196" i="1"/>
  <c r="P196" i="1" s="1"/>
  <c r="Q196" i="1" s="1"/>
  <c r="L199" i="1"/>
  <c r="O199" i="1" s="1"/>
  <c r="P199" i="1" s="1"/>
  <c r="Q199" i="1" s="1"/>
  <c r="L197" i="1"/>
  <c r="O197" i="1" s="1"/>
  <c r="P197" i="1" s="1"/>
  <c r="Q197" i="1" s="1"/>
  <c r="O191" i="1"/>
  <c r="P191" i="1" s="1"/>
  <c r="Q191" i="1" s="1"/>
  <c r="O192" i="1"/>
  <c r="P192" i="1" s="1"/>
  <c r="Q192" i="1" s="1"/>
  <c r="O189" i="1"/>
  <c r="P189" i="1" s="1"/>
  <c r="Q189" i="1" s="1"/>
  <c r="O190" i="1"/>
  <c r="P190" i="1" s="1"/>
  <c r="Q190" i="1" s="1"/>
  <c r="L186" i="1"/>
  <c r="O186" i="1" s="1"/>
  <c r="P186" i="1" s="1"/>
  <c r="Q186" i="1" s="1"/>
  <c r="O179" i="1"/>
  <c r="P179" i="1" s="1"/>
  <c r="Q179" i="1" s="1"/>
  <c r="L184" i="1"/>
  <c r="O184" i="1" s="1"/>
  <c r="P184" i="1" s="1"/>
  <c r="Q184" i="1" s="1"/>
  <c r="L183" i="1"/>
  <c r="O183" i="1" s="1"/>
  <c r="P183" i="1" s="1"/>
  <c r="Q183" i="1" s="1"/>
  <c r="L185" i="1"/>
  <c r="O185" i="1" s="1"/>
  <c r="P185" i="1" s="1"/>
  <c r="Q185" i="1" s="1"/>
  <c r="L176" i="1"/>
  <c r="O176" i="1" s="1"/>
  <c r="P176" i="1" s="1"/>
  <c r="Q176" i="1" s="1"/>
  <c r="L819" i="1"/>
  <c r="O819" i="1" s="1"/>
  <c r="P819" i="1" s="1"/>
  <c r="Q819" i="1" s="1"/>
  <c r="L820" i="1"/>
  <c r="O820" i="1" s="1"/>
  <c r="P820" i="1" s="1"/>
  <c r="Q820" i="1" s="1"/>
  <c r="L818" i="1"/>
  <c r="O818" i="1" s="1"/>
  <c r="P818" i="1" s="1"/>
  <c r="Q818" i="1" s="1"/>
  <c r="L821" i="1"/>
  <c r="O821" i="1" s="1"/>
  <c r="P821" i="1" s="1"/>
  <c r="Q821" i="1" s="1"/>
  <c r="O825" i="1"/>
  <c r="P825" i="1" s="1"/>
  <c r="Q825" i="1" s="1"/>
  <c r="L817" i="1"/>
  <c r="O817" i="1" s="1"/>
  <c r="P817" i="1" s="1"/>
  <c r="Q817" i="1" s="1"/>
  <c r="O827" i="1"/>
  <c r="P827" i="1" s="1"/>
  <c r="Q827" i="1" s="1"/>
  <c r="O828" i="1"/>
  <c r="P828" i="1" s="1"/>
  <c r="Q828" i="1" s="1"/>
  <c r="O174" i="1"/>
  <c r="P174" i="1" s="1"/>
  <c r="Q174" i="1" s="1"/>
  <c r="O175" i="1"/>
  <c r="P175" i="1" s="1"/>
  <c r="Q175" i="1" s="1"/>
  <c r="O173" i="1"/>
  <c r="P173" i="1" s="1"/>
  <c r="Q173" i="1" s="1"/>
  <c r="O826" i="1"/>
  <c r="P826" i="1" s="1"/>
  <c r="Q826" i="1" s="1"/>
  <c r="O824" i="1"/>
  <c r="P824" i="1" s="1"/>
  <c r="Q824" i="1" s="1"/>
  <c r="O169" i="1"/>
  <c r="P169" i="1" s="1"/>
  <c r="Q169" i="1" s="1"/>
  <c r="O153" i="1"/>
  <c r="P153" i="1" s="1"/>
  <c r="Q153" i="1" s="1"/>
  <c r="O166" i="1"/>
  <c r="P166" i="1" s="1"/>
  <c r="Q166" i="1" s="1"/>
  <c r="L158" i="1"/>
  <c r="O158" i="1" s="1"/>
  <c r="P158" i="1" s="1"/>
  <c r="Q158" i="1" s="1"/>
  <c r="O168" i="1"/>
  <c r="P168" i="1" s="1"/>
  <c r="Q168" i="1" s="1"/>
  <c r="O154" i="1"/>
  <c r="P154" i="1" s="1"/>
  <c r="Q154" i="1" s="1"/>
  <c r="O167" i="1"/>
  <c r="P167" i="1" s="1"/>
  <c r="Q167" i="1" s="1"/>
  <c r="L160" i="1"/>
  <c r="O160" i="1" s="1"/>
  <c r="P160" i="1" s="1"/>
  <c r="Q160" i="1" s="1"/>
  <c r="O156" i="1"/>
  <c r="P156" i="1" s="1"/>
  <c r="Q156" i="1" s="1"/>
  <c r="O165" i="1"/>
  <c r="P165" i="1" s="1"/>
  <c r="Q165" i="1" s="1"/>
  <c r="O155" i="1"/>
  <c r="P155" i="1" s="1"/>
  <c r="Q155" i="1" s="1"/>
  <c r="O163" i="1"/>
  <c r="P163" i="1" s="1"/>
  <c r="Q163" i="1" s="1"/>
  <c r="O164" i="1"/>
  <c r="P164" i="1" s="1"/>
  <c r="Q164" i="1" s="1"/>
  <c r="O170" i="1"/>
  <c r="P170" i="1" s="1"/>
  <c r="Q170" i="1" s="1"/>
  <c r="L157" i="1"/>
  <c r="O157" i="1" s="1"/>
  <c r="P157" i="1" s="1"/>
  <c r="Q157" i="1" s="1"/>
  <c r="L159" i="1"/>
  <c r="O159" i="1" s="1"/>
  <c r="P159" i="1" s="1"/>
  <c r="Q159" i="1" s="1"/>
  <c r="O142" i="1"/>
  <c r="P142" i="1" s="1"/>
  <c r="Q142" i="1" s="1"/>
  <c r="O143" i="1"/>
  <c r="P143" i="1" s="1"/>
  <c r="Q143" i="1" s="1"/>
  <c r="O146" i="1"/>
  <c r="P146" i="1" s="1"/>
  <c r="Q146" i="1" s="1"/>
  <c r="O149" i="1"/>
  <c r="P149" i="1" s="1"/>
  <c r="Q149" i="1" s="1"/>
  <c r="O141" i="1"/>
  <c r="P141" i="1" s="1"/>
  <c r="Q141" i="1" s="1"/>
  <c r="O147" i="1"/>
  <c r="P147" i="1" s="1"/>
  <c r="Q147" i="1" s="1"/>
  <c r="O144" i="1"/>
  <c r="P144" i="1" s="1"/>
  <c r="Q144" i="1" s="1"/>
  <c r="O148" i="1"/>
  <c r="P148" i="1" s="1"/>
  <c r="Q148" i="1" s="1"/>
  <c r="O145" i="1"/>
  <c r="P145" i="1" s="1"/>
  <c r="Q145" i="1" s="1"/>
  <c r="O150" i="1"/>
  <c r="P150" i="1" s="1"/>
  <c r="Q150" i="1" s="1"/>
  <c r="L131" i="1"/>
  <c r="O131" i="1" s="1"/>
  <c r="P131" i="1" s="1"/>
  <c r="Q131" i="1" s="1"/>
  <c r="L133" i="1"/>
  <c r="O133" i="1" s="1"/>
  <c r="P133" i="1" s="1"/>
  <c r="Q133" i="1" s="1"/>
  <c r="L137" i="1"/>
  <c r="O137" i="1" s="1"/>
  <c r="P137" i="1" s="1"/>
  <c r="Q137" i="1" s="1"/>
  <c r="L136" i="1"/>
  <c r="O136" i="1" s="1"/>
  <c r="P136" i="1" s="1"/>
  <c r="Q136" i="1" s="1"/>
  <c r="L134" i="1"/>
  <c r="O134" i="1" s="1"/>
  <c r="P134" i="1" s="1"/>
  <c r="Q134" i="1" s="1"/>
  <c r="L130" i="1"/>
  <c r="O130" i="1" s="1"/>
  <c r="P130" i="1" s="1"/>
  <c r="Q130" i="1" s="1"/>
  <c r="L132" i="1"/>
  <c r="O132" i="1" s="1"/>
  <c r="P132" i="1" s="1"/>
  <c r="Q132" i="1" s="1"/>
  <c r="L129" i="1"/>
  <c r="O129" i="1" s="1"/>
  <c r="P129" i="1" s="1"/>
  <c r="Q129" i="1" s="1"/>
  <c r="L138" i="1"/>
  <c r="O138" i="1" s="1"/>
  <c r="P138" i="1" s="1"/>
  <c r="Q138" i="1" s="1"/>
  <c r="L135" i="1"/>
  <c r="O135" i="1" s="1"/>
  <c r="P135" i="1" s="1"/>
  <c r="Q135" i="1" s="1"/>
  <c r="L125" i="1"/>
  <c r="O125" i="1" s="1"/>
  <c r="P125" i="1" s="1"/>
  <c r="Q125" i="1" s="1"/>
  <c r="O119" i="1"/>
  <c r="P119" i="1" s="1"/>
  <c r="Q119" i="1" s="1"/>
  <c r="L117" i="1"/>
  <c r="O117" i="1" s="1"/>
  <c r="P117" i="1" s="1"/>
  <c r="Q117" i="1" s="1"/>
  <c r="L120" i="1"/>
  <c r="O120" i="1" s="1"/>
  <c r="P120" i="1" s="1"/>
  <c r="Q120" i="1" s="1"/>
  <c r="L118" i="1"/>
  <c r="O118" i="1" s="1"/>
  <c r="P118" i="1" s="1"/>
  <c r="Q118" i="1" s="1"/>
  <c r="L121" i="1"/>
  <c r="O121" i="1" s="1"/>
  <c r="P121" i="1" s="1"/>
  <c r="Q121" i="1" s="1"/>
  <c r="L122" i="1"/>
  <c r="O122" i="1" s="1"/>
  <c r="P122" i="1" s="1"/>
  <c r="Q122" i="1" s="1"/>
  <c r="L94" i="1"/>
  <c r="O94" i="1" s="1"/>
  <c r="P94" i="1" s="1"/>
  <c r="Q94" i="1" s="1"/>
  <c r="O114" i="1"/>
  <c r="P114" i="1" s="1"/>
  <c r="Q114" i="1" s="1"/>
  <c r="L111" i="1"/>
  <c r="O111" i="1" s="1"/>
  <c r="P111" i="1" s="1"/>
  <c r="Q111" i="1" s="1"/>
  <c r="L108" i="1"/>
  <c r="O108" i="1" s="1"/>
  <c r="P108" i="1" s="1"/>
  <c r="Q108" i="1" s="1"/>
  <c r="O106" i="1"/>
  <c r="P106" i="1" s="1"/>
  <c r="Q106" i="1" s="1"/>
  <c r="L107" i="1"/>
  <c r="O107" i="1" s="1"/>
  <c r="P107" i="1" s="1"/>
  <c r="Q107" i="1" s="1"/>
  <c r="L109" i="1"/>
  <c r="O109" i="1" s="1"/>
  <c r="P109" i="1" s="1"/>
  <c r="Q109" i="1" s="1"/>
  <c r="L110" i="1"/>
  <c r="O110" i="1" s="1"/>
  <c r="P110" i="1" s="1"/>
  <c r="Q110" i="1" s="1"/>
  <c r="O85" i="1"/>
  <c r="P85" i="1" s="1"/>
  <c r="Q85" i="1" s="1"/>
  <c r="O89" i="1"/>
  <c r="P89" i="1" s="1"/>
  <c r="Q89" i="1" s="1"/>
  <c r="O78" i="1"/>
  <c r="P78" i="1" s="1"/>
  <c r="Q78" i="1" s="1"/>
  <c r="O71" i="1"/>
  <c r="P71" i="1" s="1"/>
  <c r="Q71" i="1" s="1"/>
  <c r="O90" i="1"/>
  <c r="P90" i="1" s="1"/>
  <c r="Q90" i="1" s="1"/>
  <c r="O91" i="1"/>
  <c r="P91" i="1" s="1"/>
  <c r="Q91" i="1" s="1"/>
  <c r="O88" i="1"/>
  <c r="P88" i="1" s="1"/>
  <c r="Q88" i="1" s="1"/>
  <c r="O82" i="1"/>
  <c r="P82" i="1" s="1"/>
  <c r="Q82" i="1" s="1"/>
  <c r="O70" i="1"/>
  <c r="P70" i="1" s="1"/>
  <c r="Q70" i="1" s="1"/>
  <c r="O87" i="1"/>
  <c r="P87" i="1" s="1"/>
  <c r="Q87" i="1" s="1"/>
  <c r="O86" i="1"/>
  <c r="P86" i="1" s="1"/>
  <c r="Q86" i="1" s="1"/>
  <c r="O80" i="1"/>
  <c r="P80" i="1" s="1"/>
  <c r="Q80" i="1" s="1"/>
  <c r="O77" i="1"/>
  <c r="P77" i="1" s="1"/>
  <c r="Q77" i="1" s="1"/>
  <c r="O73" i="1"/>
  <c r="P73" i="1" s="1"/>
  <c r="Q73" i="1" s="1"/>
  <c r="O69" i="1"/>
  <c r="P69" i="1" s="1"/>
  <c r="Q69" i="1" s="1"/>
  <c r="O81" i="1"/>
  <c r="P81" i="1" s="1"/>
  <c r="Q81" i="1" s="1"/>
  <c r="O72" i="1"/>
  <c r="P72" i="1" s="1"/>
  <c r="Q72" i="1" s="1"/>
  <c r="O79" i="1"/>
  <c r="P79" i="1" s="1"/>
  <c r="Q79" i="1" s="1"/>
  <c r="O74" i="1"/>
  <c r="P74" i="1" s="1"/>
  <c r="Q74" i="1" s="1"/>
  <c r="O56" i="1"/>
  <c r="P56" i="1" s="1"/>
  <c r="Q56" i="1" s="1"/>
  <c r="O63" i="1"/>
  <c r="P63" i="1" s="1"/>
  <c r="Q63" i="1" s="1"/>
  <c r="O53" i="1"/>
  <c r="P53" i="1" s="1"/>
  <c r="Q53" i="1" s="1"/>
  <c r="O65" i="1"/>
  <c r="P65" i="1" s="1"/>
  <c r="Q65" i="1" s="1"/>
  <c r="O55" i="1"/>
  <c r="P55" i="1" s="1"/>
  <c r="Q55" i="1" s="1"/>
  <c r="O62" i="1"/>
  <c r="P62" i="1" s="1"/>
  <c r="Q62" i="1" s="1"/>
  <c r="O54" i="1"/>
  <c r="P54" i="1" s="1"/>
  <c r="Q54" i="1" s="1"/>
  <c r="O64" i="1"/>
  <c r="P64" i="1" s="1"/>
  <c r="Q64" i="1" s="1"/>
  <c r="O58" i="1"/>
  <c r="P58" i="1" s="1"/>
  <c r="Q58" i="1" s="1"/>
  <c r="O57" i="1"/>
  <c r="P57" i="1" s="1"/>
  <c r="Q57" i="1" s="1"/>
  <c r="O61" i="1"/>
  <c r="P61" i="1" s="1"/>
  <c r="Q61" i="1" s="1"/>
  <c r="O66" i="1"/>
  <c r="P66" i="1" s="1"/>
  <c r="Q66" i="1" s="1"/>
  <c r="O41" i="1"/>
  <c r="P41" i="1" s="1"/>
  <c r="Q41" i="1" s="1"/>
  <c r="O47" i="1"/>
  <c r="P47" i="1" s="1"/>
  <c r="Q47" i="1" s="1"/>
  <c r="O46" i="1"/>
  <c r="P46" i="1" s="1"/>
  <c r="Q46" i="1" s="1"/>
  <c r="O49" i="1"/>
  <c r="P49" i="1" s="1"/>
  <c r="Q49" i="1" s="1"/>
  <c r="O45" i="1"/>
  <c r="P45" i="1" s="1"/>
  <c r="Q45" i="1" s="1"/>
  <c r="O48" i="1"/>
  <c r="P48" i="1" s="1"/>
  <c r="Q48" i="1" s="1"/>
  <c r="O42" i="1"/>
  <c r="P42" i="1" s="1"/>
  <c r="Q42" i="1" s="1"/>
  <c r="O50" i="1"/>
  <c r="P50" i="1" s="1"/>
  <c r="Q50" i="1" s="1"/>
  <c r="L36" i="1"/>
  <c r="O36" i="1" s="1"/>
  <c r="P36" i="1" s="1"/>
  <c r="Q36" i="1" s="1"/>
  <c r="L37" i="1"/>
  <c r="O37" i="1" s="1"/>
  <c r="P37" i="1" s="1"/>
  <c r="Q37" i="1" s="1"/>
  <c r="L35" i="1"/>
  <c r="O35" i="1" s="1"/>
  <c r="P35" i="1" s="1"/>
  <c r="Q35" i="1" s="1"/>
  <c r="L32" i="1"/>
  <c r="O32" i="1" s="1"/>
  <c r="L34" i="1"/>
  <c r="O34" i="1" s="1"/>
  <c r="P34" i="1" s="1"/>
  <c r="Q34" i="1" s="1"/>
  <c r="L33" i="1"/>
  <c r="O33" i="1" s="1"/>
  <c r="P33" i="1" s="1"/>
  <c r="Q33" i="1" s="1"/>
  <c r="L24" i="1"/>
  <c r="O24" i="1" s="1"/>
  <c r="P24" i="1" s="1"/>
  <c r="Q24" i="1" s="1"/>
  <c r="L25" i="1"/>
  <c r="O25" i="1" s="1"/>
  <c r="P25" i="1" s="1"/>
  <c r="Q25" i="1" s="1"/>
  <c r="L23" i="1"/>
  <c r="O23" i="1" s="1"/>
  <c r="L758" i="1"/>
  <c r="O758" i="1" s="1"/>
  <c r="L761" i="1"/>
  <c r="O761" i="1" s="1"/>
  <c r="P761" i="1" s="1"/>
  <c r="Q761" i="1" s="1"/>
  <c r="L665" i="1"/>
  <c r="O665" i="1" s="1"/>
  <c r="P665" i="1" s="1"/>
  <c r="Q665" i="1" s="1"/>
  <c r="L664" i="1"/>
  <c r="O664" i="1" s="1"/>
  <c r="P664" i="1" s="1"/>
  <c r="Q664" i="1" s="1"/>
  <c r="L663" i="1"/>
  <c r="O663" i="1" s="1"/>
  <c r="P663" i="1" s="1"/>
  <c r="Q663" i="1" s="1"/>
  <c r="L11" i="1"/>
  <c r="L12" i="1"/>
  <c r="L13" i="1"/>
  <c r="L14" i="1"/>
  <c r="O14" i="1" s="1"/>
  <c r="P14" i="1" s="1"/>
  <c r="Q14" i="1" s="1"/>
  <c r="R713" i="1" l="1"/>
  <c r="R803" i="1"/>
  <c r="R462" i="1"/>
  <c r="P234" i="1"/>
  <c r="Q234" i="1" s="1"/>
  <c r="R427" i="1" s="1"/>
  <c r="M427" i="1"/>
  <c r="E12" i="2" s="1"/>
  <c r="G12" i="2" s="1"/>
  <c r="H12" i="2" s="1"/>
  <c r="J12" i="2" s="1"/>
  <c r="P215" i="1"/>
  <c r="Q215" i="1" s="1"/>
  <c r="R230" i="1" s="1"/>
  <c r="M230" i="1"/>
  <c r="E11" i="2" s="1"/>
  <c r="G11" i="2" s="1"/>
  <c r="H11" i="2" s="1"/>
  <c r="M462" i="1"/>
  <c r="E13" i="2" s="1"/>
  <c r="G13" i="2" s="1"/>
  <c r="H13" i="2" s="1"/>
  <c r="P204" i="1"/>
  <c r="Q204" i="1" s="1"/>
  <c r="R211" i="1" s="1"/>
  <c r="M211" i="1"/>
  <c r="E10" i="2" s="1"/>
  <c r="P465" i="1"/>
  <c r="Q465" i="1" s="1"/>
  <c r="R490" i="1" s="1"/>
  <c r="M490" i="1"/>
  <c r="E14" i="2" s="1"/>
  <c r="O779" i="1"/>
  <c r="P779" i="1" s="1"/>
  <c r="Q779" i="1" s="1"/>
  <c r="O742" i="1"/>
  <c r="P782" i="1"/>
  <c r="Q782" i="1" s="1"/>
  <c r="I16" i="2"/>
  <c r="J16" i="2"/>
  <c r="G17" i="2"/>
  <c r="H17" i="2" s="1"/>
  <c r="P726" i="1"/>
  <c r="Q726" i="1" s="1"/>
  <c r="R739" i="1" s="1"/>
  <c r="M739" i="1"/>
  <c r="E18" i="2" s="1"/>
  <c r="M803" i="1"/>
  <c r="E25" i="2" s="1"/>
  <c r="G25" i="2" s="1"/>
  <c r="H25" i="2" s="1"/>
  <c r="G27" i="2"/>
  <c r="H27" i="2" s="1"/>
  <c r="P806" i="1"/>
  <c r="Q806" i="1" s="1"/>
  <c r="R844" i="1" s="1"/>
  <c r="M844" i="1"/>
  <c r="E26" i="2" s="1"/>
  <c r="P748" i="1"/>
  <c r="Q748" i="1" s="1"/>
  <c r="R755" i="1" s="1"/>
  <c r="M755" i="1"/>
  <c r="E21" i="2" s="1"/>
  <c r="P766" i="1"/>
  <c r="Q766" i="1" s="1"/>
  <c r="P32" i="1"/>
  <c r="Q32" i="1" s="1"/>
  <c r="R201" i="1" s="1"/>
  <c r="M201" i="1"/>
  <c r="E9" i="2" s="1"/>
  <c r="P23" i="1"/>
  <c r="Q23" i="1" s="1"/>
  <c r="M27" i="1"/>
  <c r="E8" i="2" s="1"/>
  <c r="G8" i="2" s="1"/>
  <c r="H8" i="2" s="1"/>
  <c r="J8" i="2" s="1"/>
  <c r="P758" i="1"/>
  <c r="Q758" i="1" s="1"/>
  <c r="R763" i="1" s="1"/>
  <c r="M763" i="1"/>
  <c r="E22" i="2" s="1"/>
  <c r="M713" i="1"/>
  <c r="E15" i="2" s="1"/>
  <c r="G15" i="2" s="1"/>
  <c r="R27" i="1" l="1"/>
  <c r="P742" i="1"/>
  <c r="Q742" i="1" s="1"/>
  <c r="R744" i="1" s="1"/>
  <c r="M744" i="1"/>
  <c r="E19" i="2" s="1"/>
  <c r="R792" i="1"/>
  <c r="I12" i="2"/>
  <c r="L12" i="2" s="1"/>
  <c r="M12" i="2" s="1"/>
  <c r="G10" i="2"/>
  <c r="H10" i="2" s="1"/>
  <c r="J13" i="2"/>
  <c r="I13" i="2"/>
  <c r="G14" i="2"/>
  <c r="H14" i="2" s="1"/>
  <c r="M792" i="1"/>
  <c r="E23" i="2" s="1"/>
  <c r="G23" i="2" s="1"/>
  <c r="H23" i="2" s="1"/>
  <c r="L16" i="2"/>
  <c r="M16" i="2" s="1"/>
  <c r="J17" i="2"/>
  <c r="I17" i="2"/>
  <c r="G18" i="2"/>
  <c r="H18" i="2" s="1"/>
  <c r="J27" i="2"/>
  <c r="I27" i="2"/>
  <c r="G26" i="2"/>
  <c r="H26" i="2" s="1"/>
  <c r="I25" i="2"/>
  <c r="J25" i="2"/>
  <c r="G21" i="2"/>
  <c r="H21" i="2" s="1"/>
  <c r="J11" i="2"/>
  <c r="I11" i="2"/>
  <c r="G9" i="2"/>
  <c r="H9" i="2" s="1"/>
  <c r="I8" i="2"/>
  <c r="L8" i="2" s="1"/>
  <c r="M8" i="2" s="1"/>
  <c r="G22" i="2"/>
  <c r="H22" i="2" s="1"/>
  <c r="H15" i="2"/>
  <c r="I15" i="2" s="1"/>
  <c r="S9" i="1" l="1"/>
  <c r="G19" i="2"/>
  <c r="H19" i="2" s="1"/>
  <c r="L13" i="2"/>
  <c r="M13" i="2" s="1"/>
  <c r="I10" i="2"/>
  <c r="J10" i="2"/>
  <c r="J14" i="2"/>
  <c r="I14" i="2"/>
  <c r="L17" i="2"/>
  <c r="M17" i="2" s="1"/>
  <c r="I18" i="2"/>
  <c r="J18" i="2"/>
  <c r="L27" i="2"/>
  <c r="M27" i="2" s="1"/>
  <c r="I26" i="2"/>
  <c r="J26" i="2"/>
  <c r="L25" i="2"/>
  <c r="M25" i="2" s="1"/>
  <c r="J21" i="2"/>
  <c r="I21" i="2"/>
  <c r="I23" i="2"/>
  <c r="J23" i="2"/>
  <c r="L11" i="2"/>
  <c r="M11" i="2" s="1"/>
  <c r="I9" i="2"/>
  <c r="J9" i="2"/>
  <c r="J22" i="2"/>
  <c r="I22" i="2"/>
  <c r="J15" i="2"/>
  <c r="M17" i="1" l="1"/>
  <c r="N17" i="1" s="1"/>
  <c r="O17" i="1" s="1"/>
  <c r="P17" i="1" s="1"/>
  <c r="Q17" i="1" s="1"/>
  <c r="M13" i="1"/>
  <c r="N13" i="1" s="1"/>
  <c r="O13" i="1" s="1"/>
  <c r="P13" i="1" s="1"/>
  <c r="Q13" i="1" s="1"/>
  <c r="M11" i="1"/>
  <c r="N11" i="1" s="1"/>
  <c r="M12" i="1"/>
  <c r="N12" i="1" s="1"/>
  <c r="O12" i="1" s="1"/>
  <c r="P12" i="1" s="1"/>
  <c r="Q12" i="1" s="1"/>
  <c r="I19" i="2"/>
  <c r="J19" i="2"/>
  <c r="L10" i="2"/>
  <c r="M10" i="2" s="1"/>
  <c r="L14" i="2"/>
  <c r="M14" i="2" s="1"/>
  <c r="L18" i="2"/>
  <c r="M18" i="2" s="1"/>
  <c r="L26" i="2"/>
  <c r="M26" i="2" s="1"/>
  <c r="L21" i="2"/>
  <c r="M21" i="2" s="1"/>
  <c r="L23" i="2"/>
  <c r="M23" i="2" s="1"/>
  <c r="L9" i="2"/>
  <c r="M9" i="2" s="1"/>
  <c r="L22" i="2"/>
  <c r="M22" i="2" s="1"/>
  <c r="L15" i="2"/>
  <c r="M15" i="2" s="1"/>
  <c r="P19" i="1" l="1"/>
  <c r="R855" i="1"/>
  <c r="P851" i="1"/>
  <c r="L32" i="2" s="1"/>
  <c r="L33" i="2" s="1"/>
  <c r="O11" i="1"/>
  <c r="L19" i="2"/>
  <c r="M19" i="2" s="1"/>
  <c r="P11" i="1" l="1"/>
  <c r="Q11" i="1" s="1"/>
  <c r="R854" i="1"/>
  <c r="M19" i="1"/>
  <c r="E6" i="2" s="1"/>
  <c r="M851" i="1"/>
  <c r="R19" i="1" l="1"/>
  <c r="R851" i="1"/>
  <c r="G6" i="2"/>
  <c r="H6" i="2" s="1"/>
  <c r="E29" i="2"/>
  <c r="E35" i="2" s="1"/>
  <c r="E42" i="2" l="1"/>
  <c r="E50" i="2"/>
  <c r="E36" i="2"/>
  <c r="O1" i="1" s="1"/>
  <c r="G29" i="2"/>
  <c r="E37" i="2" l="1"/>
  <c r="I6" i="2"/>
  <c r="I29" i="2" s="1"/>
  <c r="J6" i="2"/>
  <c r="J29" i="2" s="1"/>
  <c r="H29" i="2"/>
  <c r="O3" i="1"/>
  <c r="O2" i="1"/>
  <c r="E38" i="2" l="1"/>
  <c r="E39" i="2"/>
  <c r="E40" i="2" l="1"/>
  <c r="E52" i="2" s="1"/>
  <c r="E41" i="2"/>
  <c r="E54" i="2" l="1"/>
  <c r="K6" i="2"/>
  <c r="K29" i="2" s="1"/>
  <c r="O4" i="1"/>
  <c r="O5" i="1" s="1"/>
  <c r="L6" i="2" l="1"/>
  <c r="M6" i="2" s="1"/>
  <c r="M29" i="2" s="1"/>
  <c r="L29" i="2" l="1"/>
  <c r="O6" i="2"/>
  <c r="O12" i="2" l="1"/>
  <c r="O25" i="2"/>
  <c r="O11" i="2"/>
  <c r="O22" i="2"/>
  <c r="O18" i="2"/>
  <c r="O13" i="2"/>
  <c r="O16" i="2"/>
  <c r="O23" i="2"/>
  <c r="O21" i="2"/>
  <c r="O8" i="2"/>
  <c r="O9" i="2"/>
  <c r="O15" i="2"/>
  <c r="O19" i="2"/>
  <c r="O17" i="2"/>
  <c r="O10" i="2"/>
  <c r="O27" i="2"/>
  <c r="O14" i="2"/>
  <c r="O26" i="2"/>
  <c r="O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498" authorId="0" shapeId="0" xr:uid="{DB93583E-D722-45EB-BA3A-5824AB2FEDA8}">
      <text>
        <r>
          <rPr>
            <sz val="9"/>
            <color indexed="81"/>
            <rFont val="Tahoma"/>
            <family val="2"/>
          </rPr>
          <t xml:space="preserve">
https://www.homedepot.com/p/Schluter-Kerdi-DS-3-ft-3-in-x-98-ft-5-in-Waterproofing-Membrane-KERDI-DS/309829785</t>
        </r>
      </text>
    </comment>
  </commentList>
</comments>
</file>

<file path=xl/sharedStrings.xml><?xml version="1.0" encoding="utf-8"?>
<sst xmlns="http://schemas.openxmlformats.org/spreadsheetml/2006/main" count="1500" uniqueCount="634">
  <si>
    <t>SR.
NO.</t>
  </si>
  <si>
    <t>DESCRIPTION</t>
  </si>
  <si>
    <t>QUANTITY</t>
  </si>
  <si>
    <t>UNIT</t>
  </si>
  <si>
    <t>MATERIAL 
COST</t>
  </si>
  <si>
    <t>MANHOURS COST</t>
  </si>
  <si>
    <t>UNIT MANHOURS</t>
  </si>
  <si>
    <t>TOTAL MANHOURS</t>
  </si>
  <si>
    <t>TOTAL
COST</t>
  </si>
  <si>
    <t>UNIT MATERIAL
COST</t>
  </si>
  <si>
    <t>DWG. NO.</t>
  </si>
  <si>
    <t>DETAIL NO.</t>
  </si>
  <si>
    <t>SUBTOTAL MATERIAL</t>
  </si>
  <si>
    <t>SUBTOTAL LABOR</t>
  </si>
  <si>
    <t>COMPOSITE LABOR RATE</t>
  </si>
  <si>
    <t>BID SUMMARY</t>
  </si>
  <si>
    <t>MATERIAL COST</t>
  </si>
  <si>
    <t>LABOR COST</t>
  </si>
  <si>
    <t>MATERIAL TAX</t>
  </si>
  <si>
    <t>LABOR TAX</t>
  </si>
  <si>
    <t>TOTAL COST</t>
  </si>
  <si>
    <t>OVERHEADS</t>
  </si>
  <si>
    <t>TOTAL PRICE</t>
  </si>
  <si>
    <t>TOTALS</t>
  </si>
  <si>
    <t>BID RECAP</t>
  </si>
  <si>
    <t>TOTAL MATERIAL COST</t>
  </si>
  <si>
    <t>TOTAL LABOR COST</t>
  </si>
  <si>
    <t>MATERIAL SALES TAX</t>
  </si>
  <si>
    <t>OVERHEADS @</t>
  </si>
  <si>
    <t>ALLOWANCES</t>
  </si>
  <si>
    <t>SUB-CONTRACTS</t>
  </si>
  <si>
    <t>BOND PREMIUM</t>
  </si>
  <si>
    <t>JOB EXPENSE</t>
  </si>
  <si>
    <t>PROFIT @</t>
  </si>
  <si>
    <t>BASE BID PRICE</t>
  </si>
  <si>
    <t>MAN LOAD</t>
  </si>
  <si>
    <t>MOBILIZATION / DEMOBILIZATION</t>
  </si>
  <si>
    <t>SUPERVISOR RATE</t>
  </si>
  <si>
    <t>UNSKILLED LABOR RATE</t>
  </si>
  <si>
    <t>TOTAL MANHOURS WITH SUPERVISION</t>
  </si>
  <si>
    <t>NUMBER OF MAN-DAYS</t>
  </si>
  <si>
    <t>MAN-LOADING AND SUPERVISION ANALYSIS</t>
  </si>
  <si>
    <t>SUBTOTAL HOURS</t>
  </si>
  <si>
    <t>CSI NO.</t>
  </si>
  <si>
    <t>09 00 00</t>
  </si>
  <si>
    <t>OPENINGS</t>
  </si>
  <si>
    <t>08 00 00</t>
  </si>
  <si>
    <t>FINISHES</t>
  </si>
  <si>
    <t>JOURNEYMAN RATE</t>
  </si>
  <si>
    <t>Mudding Compound (12 LBS)</t>
  </si>
  <si>
    <t>Screws (244 EA)</t>
  </si>
  <si>
    <t>ROLLS</t>
  </si>
  <si>
    <t>BUCKETS</t>
  </si>
  <si>
    <t>BOXES</t>
  </si>
  <si>
    <t>Taping (180' L)</t>
  </si>
  <si>
    <t>02 00 00</t>
  </si>
  <si>
    <t>03 00 00</t>
  </si>
  <si>
    <t>CONCRETE</t>
  </si>
  <si>
    <t>WOOD, PLASTICS, AND COMPOSITES</t>
  </si>
  <si>
    <t>THERMAL AND MOISTURE PROTECTION</t>
  </si>
  <si>
    <t>10 00 00</t>
  </si>
  <si>
    <t>SPECIALTIES</t>
  </si>
  <si>
    <t>11 00 00</t>
  </si>
  <si>
    <t>EQUIPMENT</t>
  </si>
  <si>
    <t>12 00 00</t>
  </si>
  <si>
    <t>FURNISHINGS</t>
  </si>
  <si>
    <t>31 00 00</t>
  </si>
  <si>
    <t>EARTHWORK</t>
  </si>
  <si>
    <t>SELECTIVE SITE DEMOLITION</t>
  </si>
  <si>
    <t xml:space="preserve">02 41 13 </t>
  </si>
  <si>
    <t>CAST-IN-PLACE CONCRETE</t>
  </si>
  <si>
    <t xml:space="preserve">03 30 00 </t>
  </si>
  <si>
    <t>STONE MASONRY VENEER</t>
  </si>
  <si>
    <t>STRUCTURAL STEEL FRAMING</t>
  </si>
  <si>
    <t xml:space="preserve">05 12 00 </t>
  </si>
  <si>
    <t>METAL RAILINGS</t>
  </si>
  <si>
    <t xml:space="preserve">05 52 00 </t>
  </si>
  <si>
    <t xml:space="preserve">06 11 00 </t>
  </si>
  <si>
    <t>WOOD DECKING</t>
  </si>
  <si>
    <t xml:space="preserve">06 15 00 </t>
  </si>
  <si>
    <t>MILLWORK</t>
  </si>
  <si>
    <t xml:space="preserve">06 22 00 </t>
  </si>
  <si>
    <t>THERMAL INSULATION</t>
  </si>
  <si>
    <t xml:space="preserve">07 21 00 </t>
  </si>
  <si>
    <t>ROOF PANELS</t>
  </si>
  <si>
    <t xml:space="preserve">07 41 00 </t>
  </si>
  <si>
    <t>SIDING</t>
  </si>
  <si>
    <t xml:space="preserve">07 46 00 </t>
  </si>
  <si>
    <t>FLASHING AND SHEET METAL</t>
  </si>
  <si>
    <t xml:space="preserve">07 60 00 </t>
  </si>
  <si>
    <t>ROOF AND WALL SPECIALTIES AND ACCESSORIES</t>
  </si>
  <si>
    <t>WOOD DOORS</t>
  </si>
  <si>
    <t xml:space="preserve">08 14 00 </t>
  </si>
  <si>
    <t xml:space="preserve">08 15 00 </t>
  </si>
  <si>
    <t>STOREFRONTS</t>
  </si>
  <si>
    <t xml:space="preserve">08 43 00 </t>
  </si>
  <si>
    <t>DOOR HARDWARE</t>
  </si>
  <si>
    <t xml:space="preserve">08 71 00 </t>
  </si>
  <si>
    <t>GLAZING</t>
  </si>
  <si>
    <t xml:space="preserve">08 80 00 </t>
  </si>
  <si>
    <t>GYPSUM BOARD ASSEMBLIES</t>
  </si>
  <si>
    <t xml:space="preserve">09 21 16 </t>
  </si>
  <si>
    <t>CERAMIC TILING</t>
  </si>
  <si>
    <t xml:space="preserve">09 30 16 </t>
  </si>
  <si>
    <t>SPECIAL WALL SURFACING</t>
  </si>
  <si>
    <t xml:space="preserve">09 77 00 </t>
  </si>
  <si>
    <t>PAINTING</t>
  </si>
  <si>
    <t xml:space="preserve">09 91 00 </t>
  </si>
  <si>
    <t>PARTITIONS</t>
  </si>
  <si>
    <t xml:space="preserve">10 22 00 </t>
  </si>
  <si>
    <t>UNIT KITCHENS</t>
  </si>
  <si>
    <t xml:space="preserve">11 32 00 </t>
  </si>
  <si>
    <t>COUNTERTOPS</t>
  </si>
  <si>
    <t xml:space="preserve">12 36 00 </t>
  </si>
  <si>
    <t>SITE CLEARING</t>
  </si>
  <si>
    <t xml:space="preserve">31 10 00 </t>
  </si>
  <si>
    <t>EROSION AND SEDIMENTATION CONTROLS</t>
  </si>
  <si>
    <t xml:space="preserve">31 25 00 </t>
  </si>
  <si>
    <t>RIGID PAVING</t>
  </si>
  <si>
    <t xml:space="preserve">32 13 00 </t>
  </si>
  <si>
    <t>UNIT PAVING</t>
  </si>
  <si>
    <t xml:space="preserve">32 14 00 </t>
  </si>
  <si>
    <t>FENCES AND GATES</t>
  </si>
  <si>
    <t xml:space="preserve">32 31 00 </t>
  </si>
  <si>
    <t xml:space="preserve">32 32 00 </t>
  </si>
  <si>
    <t>TURF AND GRASSES</t>
  </si>
  <si>
    <t xml:space="preserve">32 92 00 </t>
  </si>
  <si>
    <t>PLANTS</t>
  </si>
  <si>
    <t xml:space="preserve">32 93 00 </t>
  </si>
  <si>
    <t>33 00 00</t>
  </si>
  <si>
    <t>WELLS</t>
  </si>
  <si>
    <t xml:space="preserve">33 20 00 </t>
  </si>
  <si>
    <t>Notes:</t>
  </si>
  <si>
    <t>Date:</t>
  </si>
  <si>
    <t>All other prices are excluded that are not included in the estimate above.</t>
  </si>
  <si>
    <t>MASONRY</t>
  </si>
  <si>
    <t>METALS</t>
  </si>
  <si>
    <t>06 00 00</t>
  </si>
  <si>
    <t>05 00 00</t>
  </si>
  <si>
    <t>04 00 00</t>
  </si>
  <si>
    <t>07 00 00</t>
  </si>
  <si>
    <t>32 00 00</t>
  </si>
  <si>
    <t>EXTERIOR IMPROVEMENTS</t>
  </si>
  <si>
    <t>UTILITIES</t>
  </si>
  <si>
    <t>DIVISION</t>
  </si>
  <si>
    <t>BOND &amp; INSURANCE</t>
  </si>
  <si>
    <t>PROJECT SUPERVISION &amp; PROJECT MANAGEMENT</t>
  </si>
  <si>
    <t xml:space="preserve">SUBMITTALS, SAMPLES, SHOP DRAWINGS, SITE SAFETY PLAN, ETC. </t>
  </si>
  <si>
    <t xml:space="preserve">TEMPORARY FACILITIES &amp; CONTROLS </t>
  </si>
  <si>
    <t>PROJECT SCHEDULE (Primavera P3 or P6)</t>
  </si>
  <si>
    <t>OFFICE OVERHEADS</t>
  </si>
  <si>
    <t xml:space="preserve">CLOSEOUT PROCEDURES </t>
  </si>
  <si>
    <t xml:space="preserve">PERMITS </t>
  </si>
  <si>
    <t>QTY W/
WASTAGE</t>
  </si>
  <si>
    <t>MAN HOUR RATE</t>
  </si>
  <si>
    <t>WASTAGE %</t>
  </si>
  <si>
    <t>01 00 00</t>
  </si>
  <si>
    <t>GENERAL REQUIREMENTS</t>
  </si>
  <si>
    <t>22 00 00</t>
  </si>
  <si>
    <t>23 00 00</t>
  </si>
  <si>
    <t>26 00 00</t>
  </si>
  <si>
    <t>PLUMBING</t>
  </si>
  <si>
    <t>ELECTRICAL</t>
  </si>
  <si>
    <t>SF</t>
  </si>
  <si>
    <t>EXISTING CONDITIONS/ DEMOLITION</t>
  </si>
  <si>
    <t>COST/ SF</t>
  </si>
  <si>
    <t>ADDITIONAL COST (If Any)</t>
  </si>
  <si>
    <t>TOTAL LABOR HOURS</t>
  </si>
  <si>
    <t>OVERHEAD COST</t>
  </si>
  <si>
    <t>PROFIT COST</t>
  </si>
  <si>
    <t xml:space="preserve">Project Scope: </t>
  </si>
  <si>
    <t>Addendum:</t>
  </si>
  <si>
    <t>N/A</t>
  </si>
  <si>
    <t>PROJECT COST</t>
  </si>
  <si>
    <t>TOTAL MATERIAL</t>
  </si>
  <si>
    <t>TOTAL LABOR</t>
  </si>
  <si>
    <t>TOTAL HOURS</t>
  </si>
  <si>
    <t>LF</t>
  </si>
  <si>
    <t>Scaffolding (Means &amp; Method)</t>
  </si>
  <si>
    <t>Land Clearing &amp; Grubbing</t>
  </si>
  <si>
    <t>CY</t>
  </si>
  <si>
    <t>Excavation</t>
  </si>
  <si>
    <t>Backfill</t>
  </si>
  <si>
    <t>TOTAL BID COST</t>
  </si>
  <si>
    <t>Door Trim</t>
  </si>
  <si>
    <t xml:space="preserve">09 61 19 </t>
  </si>
  <si>
    <t>FLOORING TREATMENT</t>
  </si>
  <si>
    <t xml:space="preserve">09 64 19 </t>
  </si>
  <si>
    <t>Online sources are used for pricing purpose. Please verify, as per your own convenience.</t>
  </si>
  <si>
    <t>Cells highlighted with green, please price the items as per your own facility.</t>
  </si>
  <si>
    <t>TOTAL COST W/ OVERHEADS + PROFIT</t>
  </si>
  <si>
    <t>HEATING, VENTILATING &amp; AIR- CONDITIOINING</t>
  </si>
  <si>
    <t>Prices can vary, depending upon field conditions.</t>
  </si>
  <si>
    <t>PROFIT</t>
  </si>
  <si>
    <t>Sidewalk Bridge</t>
  </si>
  <si>
    <t>SITE &amp; INFRASTRUCTURE SUBGROUP WORK</t>
  </si>
  <si>
    <t>FACILITY SERVICES SUBGROUP WORK</t>
  </si>
  <si>
    <t>FACILITY CONSTRUCTION SUBGROUP WORK</t>
  </si>
  <si>
    <t>GENERAL REQUIREMENTS SUBGROUP WORK</t>
  </si>
  <si>
    <t>WAGE RATE</t>
  </si>
  <si>
    <t xml:space="preserve">04 43 13 </t>
  </si>
  <si>
    <t xml:space="preserve">07 70 00 </t>
  </si>
  <si>
    <t xml:space="preserve">08 16 00 </t>
  </si>
  <si>
    <t>Site GSF:</t>
  </si>
  <si>
    <t>UNIT COST</t>
  </si>
  <si>
    <t>SUBTOTAL</t>
  </si>
  <si>
    <t>TOTAL</t>
  </si>
  <si>
    <t>CELLS HIGHLIGHTED WITH GREEN, PLEASE PRICE THE ITEMS AS PER YOUR OWN FACILITY.</t>
  </si>
  <si>
    <t>Building GSF:</t>
  </si>
  <si>
    <t>FRAMING HARDWARE &amp; CONNECTIONS</t>
  </si>
  <si>
    <t>Final Cleanup</t>
  </si>
  <si>
    <t>EA</t>
  </si>
  <si>
    <t>Door Hardware</t>
  </si>
  <si>
    <t>WK</t>
  </si>
  <si>
    <r>
      <t xml:space="preserve">Allowance </t>
    </r>
    <r>
      <rPr>
        <b/>
        <sz val="11"/>
        <color rgb="FFFF0000"/>
        <rFont val="Calibri"/>
        <family val="2"/>
        <scheme val="minor"/>
      </rPr>
      <t>(If Details Not Given)</t>
    </r>
  </si>
  <si>
    <t>INSERT VALUES IN RESPECTIVE HIGHLIGHTED CELLS WHERE APPLICABLE</t>
  </si>
  <si>
    <t>ALLOWNCES</t>
  </si>
  <si>
    <r>
      <t>Crane or Lift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A50021"/>
        <rFont val="Calibri"/>
        <family val="2"/>
        <scheme val="minor"/>
      </rPr>
      <t>(If Required)</t>
    </r>
  </si>
  <si>
    <t>BY OTHERS/ SEPERATE PERMIT/ BY OWNER</t>
  </si>
  <si>
    <t>NEED QUOTATION</t>
  </si>
  <si>
    <t>Ceiling</t>
  </si>
  <si>
    <t xml:space="preserve">Ceramic Wall Tile </t>
  </si>
  <si>
    <t>Door Paint</t>
  </si>
  <si>
    <t>Door &amp; Window Trim Paint</t>
  </si>
  <si>
    <t>Wall Paint</t>
  </si>
  <si>
    <t>Ceiling Paint</t>
  </si>
  <si>
    <t>Stair Railing Paint</t>
  </si>
  <si>
    <t>R-22 Insulation @ Floor</t>
  </si>
  <si>
    <t>Stone Veneer</t>
  </si>
  <si>
    <t>Hip Flashing</t>
  </si>
  <si>
    <t>FIXTURE</t>
  </si>
  <si>
    <t>TEMPORART CONSTRUCTION</t>
  </si>
  <si>
    <t>Materials/Staging Area</t>
  </si>
  <si>
    <t>Remove Existing Gravel Driveway</t>
  </si>
  <si>
    <t>Remove Existing Steppers</t>
  </si>
  <si>
    <t>Remove Existing Bocce Court</t>
  </si>
  <si>
    <t>4'-0'W x 1'-0"Deep Reinf. Cont. Concrete Footing w/_x000D_
- #5 Bar @ 10" O.C Top &amp; Bottom (3'-6" Long)_x000D_
- #4 Cont. Bar Top &amp; Bottom</t>
  </si>
  <si>
    <t>Concrete</t>
  </si>
  <si>
    <t>#5 Bar @ 10" O.C Top &amp; Bottom</t>
  </si>
  <si>
    <t>#4 Cont. Bar Top &amp; Bottom</t>
  </si>
  <si>
    <t>LBS</t>
  </si>
  <si>
    <t>0'-8"Deep Reinf. Cont. Concrete Footing w/_x000D_
- (2) #5 Cont. Bar</t>
  </si>
  <si>
    <t>Form Work</t>
  </si>
  <si>
    <t>#5 Cont. Bar</t>
  </si>
  <si>
    <t>2'-0"W x 1'-0"Deep Reinf. Cont. Concrete Footing w/_x000D_
- #5 Bar @ 12" O.C Bottom_x000D_
- #4 Cont. Bar @ 22" O.C</t>
  </si>
  <si>
    <t>#5 Bar @ 12" O.C Bottom</t>
  </si>
  <si>
    <t>#4 Cont. Bar</t>
  </si>
  <si>
    <t>2'-6"W x 1'-0"Deep Reinf. Cont. Concrete Footing w/_x000D_
- #5 Bar @ 12" O.C Bottom_x000D_
- #4 Cont. Bar @ 22" O.C</t>
  </si>
  <si>
    <t>6'-0"W x 1'-4 Reinf. Cont. Concrete Footing w/_x000D_
- #6 Bar @ 12" O.C Top &amp; Bottom (5'-6" Long)_x000D_
- #4 Cont. Bar @ 12" O.C Top &amp; Bottom</t>
  </si>
  <si>
    <t>#6 Bar @ 12" O.C Top &amp; Bottom</t>
  </si>
  <si>
    <t>7'-0"W x 1'-4 Reinf. Cont. Concrete Footing w/_x000D_
- #6 Bar @ 12" O.C Top &amp; Bottom (5'-6" Long)_x000D_
- #4 Cont. Bar @ 12" O.C Top &amp; Bottom</t>
  </si>
  <si>
    <t>3'-0'W x 1'-4"Deep Reinf. Cont. Concrete Footing w/_x000D_
- #5 Bar @ 8" O.C Top &amp; Bottom (2'-6" Long)_x000D_
- #4 Cont. Bar @ 12" O.C Top &amp; Bottom</t>
  </si>
  <si>
    <t>#5 Bar @ 8" O.C Top &amp; Bottom</t>
  </si>
  <si>
    <t>2'-6"W x 1'-0"Deep Reinf. Cont. Concrete Footing w/_x000D_
- #5 Bar @ 12" O.C Bottom (2'-0" Long)_x000D_
- #4 Cont. Bar @ 22" O.C_x000D_
- #4 Dowel Bar @ 24" O.C (2'-3" Long)</t>
  </si>
  <si>
    <t xml:space="preserve">#4 Dowel Bar @ 24" O.C </t>
  </si>
  <si>
    <t>Expansion Joint:</t>
  </si>
  <si>
    <t>1/2" Expansion Joint</t>
  </si>
  <si>
    <t>CONCRETE SLAB ON GRADE:</t>
  </si>
  <si>
    <t>"SOG" 4" Thick Reinf. Concrete Slab (3000 PSI)</t>
  </si>
  <si>
    <t>10mil Vapor Barrier</t>
  </si>
  <si>
    <t>Size Assumed</t>
  </si>
  <si>
    <t>4" #57 Base Stone</t>
  </si>
  <si>
    <t>6x6 - W1.4xW1.4 WWF1</t>
  </si>
  <si>
    <t>Compacted Subgrade</t>
  </si>
  <si>
    <t>"ESOG" 4" Thick Reinf. Concrete Slab (4500 PSI)</t>
  </si>
  <si>
    <t>Control Joint:</t>
  </si>
  <si>
    <t>Sawcut Control Joint</t>
  </si>
  <si>
    <t>#5 Vert. Bar @ 10" O.C</t>
  </si>
  <si>
    <t>(2) #4 Cont. Bar @ 22" O.C</t>
  </si>
  <si>
    <t>(2) #5 Dowel Bar @ 10" O.C</t>
  </si>
  <si>
    <t>Filter Fabric-Extend Down</t>
  </si>
  <si>
    <t>Protection Board (4x8)</t>
  </si>
  <si>
    <t>2" Rigid Insulation</t>
  </si>
  <si>
    <t>Drainage Matt (4'x50')</t>
  </si>
  <si>
    <t>Waterproofing Membrane</t>
  </si>
  <si>
    <t>12" Thick Reinf. C.I.P Concrete Wall (8'-8" H) w/ (One Side Form Work)_x000D_
- #5 Vertical Bar @ 10" O.C (8'-8" Long)_x000D_
- (2) #4 Cont. Bar @ 22" O.C (6" Long)_x000D_
- (2) #5 Dowel Bar @ 10" O.C (4'-6" Long)_x000D_</t>
  </si>
  <si>
    <t>12" Thick Reinf. C.I.P Concrete Wall (11'-8" H) w/ (One Side Form Work)_x000D_
- #5 Vertical Bar @ 10" O.C (8'-8" Long)_x000D_
- (2) #4 Cont. Bar @ 22" O.C (6" Long)_x000D_
- (2) #5 Dowel Bar @ 10" O.C (4'-6" Long)_x000D_</t>
  </si>
  <si>
    <t>1-1/2" Termination Cont. Bar</t>
  </si>
  <si>
    <t>18" Self-Adhered Flexible Flashing w/ Weeps @ 18" O.C</t>
  </si>
  <si>
    <t>Grout Solid Collar Joint</t>
  </si>
  <si>
    <t>6" Thick Reinf. C.I.P Concrete Wall (2'-10" H) w/_x000D_
- #5 Vertical Bar @ 10" O.C (8'-8" Long)_x000D_
- (2) #4 Cont. Bar @ 22" O.C (6" Long)_x000D_
- (2) #5 Dowel Bar @ 10" O.C (4'-6" Long)_x000D_</t>
  </si>
  <si>
    <t>6" Thick Reinf. C.I.P Concrete Wall (1'-0" H) w/_x000D_
- #5 Vertical Bar @ 10" O.C (8'-8" Long)_x000D_
- (2) #4 Cont. Bar @ 22" O.C (6" Long)_x000D_
- (2) #5 Dowel Bar @ 10" O.C (4'-6" Long)_x000D_</t>
  </si>
  <si>
    <t>6" Thick Reinf. Concrete Wall (2'-6" H) w/_x000D_
- #5 Dowel Bar @ 12" O.C (3'-10" Long)_x000D_
- #4 Cont. Bar @ 12" O.C (4" Long)</t>
  </si>
  <si>
    <t>#5 Dowel Bar @ 12" O.C</t>
  </si>
  <si>
    <t>8" Thick Reinf. Concrete Wall (7'-3" H) w/_x000D_
- #6 Vert. Bar @ 12" O.C_x000D_
- #4 Cont. Bar @ 22" O.C (7" Long)_x000D_
- #6 Dowel Bar @ 12" O.C (5'-8" Long)</t>
  </si>
  <si>
    <t>#6 Vert. Bar @ 12" O.C</t>
  </si>
  <si>
    <t>#6 Dowel Bar @ 12" O.C</t>
  </si>
  <si>
    <t>8" Thick Reinf. Concrete Wall (6'-10" H) w/_x000D_
- #6 Vert. Bar @ 12" O.C_x000D_
- #4 Cont. Bar @ 22" O.C (7" Long)_x000D_
- #6 Dowel Bar @ 12" O.C (5'-8" Long)</t>
  </si>
  <si>
    <t>Concrete Surface:</t>
  </si>
  <si>
    <t>Formed Concrete Surface</t>
  </si>
  <si>
    <t>4'-0'W Reinf. Concrete Stair
#4 Nosing Bar
#5 Cont. Bar</t>
  </si>
  <si>
    <t>#4 Nosing Bar</t>
  </si>
  <si>
    <t>#4 Bar @ 12" O.C</t>
  </si>
  <si>
    <t>5'-0'W Reinf. Concrete Stair
#4 Nosing Bar
#5 Cont. Bar</t>
  </si>
  <si>
    <t>4" Thick Reinf. Concrete Slab</t>
  </si>
  <si>
    <t>Assumed</t>
  </si>
  <si>
    <t>#4 Bar</t>
  </si>
  <si>
    <t>1'x4" x 1'-4" x 1'-0"Deep Reinf. Concrete Pad Footing
- #4 Bar @ 12" O.C Each Way</t>
  </si>
  <si>
    <t>STEEL PLATE:</t>
  </si>
  <si>
    <t>1/4" x 4" x 4" Cont. Steel Plate</t>
  </si>
  <si>
    <t>STEEL FRAME:</t>
  </si>
  <si>
    <t>2"x2" Steel Frame</t>
  </si>
  <si>
    <t>C-CHANNEL:</t>
  </si>
  <si>
    <t>Steel C-Channel</t>
  </si>
  <si>
    <t>METAL TRELLIS</t>
  </si>
  <si>
    <t>FURRING WALL:</t>
  </si>
  <si>
    <t>2x4 Furring Wood Stud Wall @ 16" O.C (9'-3" H)</t>
  </si>
  <si>
    <t>4" Thk. Mineral Wool Insulation</t>
  </si>
  <si>
    <t>Sealant</t>
  </si>
  <si>
    <t>2x4 Double Wood Stud Wall @ 16" O.C (1'-8" H)</t>
  </si>
  <si>
    <t>2x4 Horz. Wood Stud Wall @ 16" O.C (6'-2" H)</t>
  </si>
  <si>
    <t>2x4 Interior Wood Stud Wall @ 16" O.C (9'-3" H)</t>
  </si>
  <si>
    <t>20 Mil Thk. Schluter Kerdi-DS System</t>
  </si>
  <si>
    <t>INTERIOR WALL:</t>
  </si>
  <si>
    <t>5/8" Gypsum Wall Board (4'x8')</t>
  </si>
  <si>
    <t>2x4 Furring Wood Stud Wall @ 16" O.C (6'-7" H)</t>
  </si>
  <si>
    <t>UNDER STAIR WALL:</t>
  </si>
  <si>
    <t>2x4 Furring Wood Stud Wall @ 16" O.C (5'-4" H)</t>
  </si>
  <si>
    <t>EXTERIOR WALL:</t>
  </si>
  <si>
    <t>2x6 Exterior Ballon Wood Stud Wall @ 16" O.C (20'-4" H)</t>
  </si>
  <si>
    <t>1/2" Plywood Sheathing (4'x8')</t>
  </si>
  <si>
    <t>2x4 Double Stud Wall @ 16" O.C (4'-6" H)</t>
  </si>
  <si>
    <t>2x4 Wood Stud Wall @ 16" O.C (9'-8" H)</t>
  </si>
  <si>
    <t>2x6 Wood Stud Wall @ 16" O.C (10'-8" H)</t>
  </si>
  <si>
    <t>2x6 Exterior Wood Stud Wall @ 16" O.C (10'-0" H)</t>
  </si>
  <si>
    <t>2x4 Interior Wood Stud Wall @ 16" O.C (10'-0" H)</t>
  </si>
  <si>
    <t>2x4 Interior Wood Stud Wall @ 16" O.C (1'-10" H)</t>
  </si>
  <si>
    <t>2x4 Interior Wood Stud Wall @ 16" O.C (1'-8" H)</t>
  </si>
  <si>
    <t>2x4 Interior Wood Stud Wall @ 16" O.C (10'-10" H) Turn Studs Sideways</t>
  </si>
  <si>
    <t>2x8 Exterior Wood Stud Wall @ 16" O.C (10'-10" H)</t>
  </si>
  <si>
    <t>2x4 Exterior Wood Stud Wall @ 16" O.C (10'-10" H)</t>
  </si>
  <si>
    <t>2x6 Exterior Wood Stud Wall @ 16" O.C (16'-0" H)</t>
  </si>
  <si>
    <t>STONE FLOORING</t>
  </si>
  <si>
    <t>Stone Flooring @ Steam Room</t>
  </si>
  <si>
    <t>Stone Flooring w/ Radiant Heat @ Message Room</t>
  </si>
  <si>
    <t>Stone Flooring @ Mech Room</t>
  </si>
  <si>
    <t>WOODEN FLOORING</t>
  </si>
  <si>
    <t>Wooden Flooring @ Sauna</t>
  </si>
  <si>
    <t>Wooden Flooring w/ Radiant Heat @ Recreation Room</t>
  </si>
  <si>
    <t>WALL BASE:</t>
  </si>
  <si>
    <t>Wooden Wall Base @ Recreation Room</t>
  </si>
  <si>
    <t>Stone Wall Base @ Steam Room</t>
  </si>
  <si>
    <t>Stone Wall Base @ Message Room</t>
  </si>
  <si>
    <t>Threshold @ Exterior Door</t>
  </si>
  <si>
    <t>Stone Veneer @ Interior Wall</t>
  </si>
  <si>
    <t>1x6 T&amp;G Nickle Gap Wood - Stained</t>
  </si>
  <si>
    <t>1x6 Vertical T&amp;G Nickle Gap Wood - Stained</t>
  </si>
  <si>
    <t>"W" 4" Dia Recessed Down Light Fixture - Wet Locations</t>
  </si>
  <si>
    <t>"W" 4" Dia Recessed Down Light Fixture</t>
  </si>
  <si>
    <t>Recessed Down Light Fixture</t>
  </si>
  <si>
    <t>Decorative Pendant Light</t>
  </si>
  <si>
    <t>LED Strip w/ Lens Cover</t>
  </si>
  <si>
    <t>Quad Outlet</t>
  </si>
  <si>
    <t>Duplex Outlet</t>
  </si>
  <si>
    <t>Outlet For Undercounter Refrigerator</t>
  </si>
  <si>
    <t>24"x4" Custom Wood Floor Diffuser</t>
  </si>
  <si>
    <t>Single Pole Switch</t>
  </si>
  <si>
    <t>Programmable Light Control Panel</t>
  </si>
  <si>
    <t>Electrical Meter Service_x000D_
Note: All Utilities Shall Enter From This Side.</t>
  </si>
  <si>
    <t>Power/Data Device For TV</t>
  </si>
  <si>
    <t>Power/Data Device</t>
  </si>
  <si>
    <t>LIGHTING</t>
  </si>
  <si>
    <t>POWER</t>
  </si>
  <si>
    <t>SWITCH</t>
  </si>
  <si>
    <t>PANEL</t>
  </si>
  <si>
    <t>LOW VOLTAGE</t>
  </si>
  <si>
    <t>ALLOWANCE:</t>
  </si>
  <si>
    <t>Outdoor Shower</t>
  </si>
  <si>
    <t>Sink w/ Faucet</t>
  </si>
  <si>
    <t>Under Mount Stainless Steel Sink w/ Separate Instantaneous Hot Water_x000D_
Dispenser</t>
  </si>
  <si>
    <t>ALLOWANCE</t>
  </si>
  <si>
    <t>Allowance For Plumbing Work</t>
  </si>
  <si>
    <t>Walkway</t>
  </si>
  <si>
    <t>4" Stone Pavers
- Compacted Subgrade</t>
  </si>
  <si>
    <t>Tree Protection Fence (4'-0" H) w/ 2"x2"x8" Wood Stakes @ 8'-0" O.C</t>
  </si>
  <si>
    <t>Silt Fence (2'-6" H) w/ Steel Post @ 48" O.C &amp; 36" D.O.T Approved Fabric (Woven Wire Fence)</t>
  </si>
  <si>
    <t>ENTRANCE PAD:</t>
  </si>
  <si>
    <t>Construction Entrance Pad_x000D_
- 6" Washed Stone_x000D_
- 6" Coarse Aggregate_x000D_
- Geotextile Filter Fabric</t>
  </si>
  <si>
    <t>Tyre Washout</t>
  </si>
  <si>
    <t>4" Mulching
- Compacted Structural Fill
- Berm As Needed</t>
  </si>
  <si>
    <t>RAIN GARDEN:</t>
  </si>
  <si>
    <t>Relocate Existing Flo-Wells</t>
  </si>
  <si>
    <t>TREES:</t>
  </si>
  <si>
    <t>16" Hardwood Tree</t>
  </si>
  <si>
    <t>4" Arborvitae Tree</t>
  </si>
  <si>
    <t>5" Arborvitae Tree</t>
  </si>
  <si>
    <t>6" Arborvitae Tree</t>
  </si>
  <si>
    <t>8" Hardwood Tree</t>
  </si>
  <si>
    <t>Solid Surface Countertop @ Kitchen</t>
  </si>
  <si>
    <t>Solid Surface Countertop</t>
  </si>
  <si>
    <t>BACKSPLASH:</t>
  </si>
  <si>
    <t>4"H Tile Backsplash</t>
  </si>
  <si>
    <t>Under Counter Refrigerator</t>
  </si>
  <si>
    <t xml:space="preserve">12 50 00 </t>
  </si>
  <si>
    <t>FURNITURE</t>
  </si>
  <si>
    <t>9'-6" x 3'-0" Wooden Bench @ Sauna</t>
  </si>
  <si>
    <t>3'-6" x 2'-0" Wooden Bench @ Sauna</t>
  </si>
  <si>
    <t>Stone Bench @ Steam Room</t>
  </si>
  <si>
    <t>STONE BENCH SEAT:</t>
  </si>
  <si>
    <t>13 00 00</t>
  </si>
  <si>
    <t>SPECIAL CONSTRUCTION</t>
  </si>
  <si>
    <t>13 17 13</t>
  </si>
  <si>
    <t>HOT TUBS</t>
  </si>
  <si>
    <t>3'-6" x 5'-6" Cold Plunge</t>
  </si>
  <si>
    <t>"111" 14'-0"W x 8'-0"H Storefront Door
- Door Material: Aluminum Clad Wood, Glass
- Frame Material: Aluminum Clad Wood</t>
  </si>
  <si>
    <t>GLASS DOORS</t>
  </si>
  <si>
    <t>"103" 2'-4"W x 7'-0"H Single Panel Door
- Door Material: Wood</t>
  </si>
  <si>
    <t>STEEL DOORS</t>
  </si>
  <si>
    <t>"110" 4'-0"W x 8'-0"H Single Panel Door
- Door Material: Steel</t>
  </si>
  <si>
    <t>1/2" Tempered Glass Glazing</t>
  </si>
  <si>
    <t>GLASS WINDOWS</t>
  </si>
  <si>
    <t>"A" 2'-0'W x 3'-0"H Glass Window w/ Frame</t>
  </si>
  <si>
    <t>"B" 2'-0'W x 4'-0"H Glass Window w/ Frame</t>
  </si>
  <si>
    <t>"C" 3'-4"W x 9'-0"H Glass Window w/ Frame</t>
  </si>
  <si>
    <t>"C3" 9'-10'W x 9'-0'H Storefront Window w/ Frame</t>
  </si>
  <si>
    <t xml:space="preserve">08 50 00 </t>
  </si>
  <si>
    <t>1x6 Vertical Wood Nickle Gap Siding Over Horizontal 1x3 SV-5 Extruded Vent @ 16" O.C</t>
  </si>
  <si>
    <t>Stone Trims:</t>
  </si>
  <si>
    <t>8" Limestone Header</t>
  </si>
  <si>
    <t>4" Limestone Sill</t>
  </si>
  <si>
    <t>1'-10" x 10" Stone Sill</t>
  </si>
  <si>
    <t>WOOD TRIM</t>
  </si>
  <si>
    <t>5/4" x 1" Wood Trim</t>
  </si>
  <si>
    <t>2" Exterior Window Trim</t>
  </si>
  <si>
    <t>2" Exterior Window Sill</t>
  </si>
  <si>
    <t>2x16 Composite Sill Trim</t>
  </si>
  <si>
    <t>6"x22" Wood Trim</t>
  </si>
  <si>
    <t>Copper Flashing w/ Hemmed Flashing</t>
  </si>
  <si>
    <t>Valley Flashing</t>
  </si>
  <si>
    <t>Metal Drip Edge</t>
  </si>
  <si>
    <t>(3'-0" W) ICE &amp; Water Shield</t>
  </si>
  <si>
    <t>Gutter</t>
  </si>
  <si>
    <t>Downspout</t>
  </si>
  <si>
    <t>Ridge Vent</t>
  </si>
  <si>
    <t>Standing Seam Metal Roofing</t>
  </si>
  <si>
    <t>Metal Flat Locker Cooper Roofing</t>
  </si>
  <si>
    <t>Over Self-Adhered Membrane</t>
  </si>
  <si>
    <t>2x2 Solid Wood Trim</t>
  </si>
  <si>
    <t>Upper &amp; Base Cabinet:</t>
  </si>
  <si>
    <t>1'-10"Deep x 2'-0"H Base Cabinet w/ Doors &amp; Associated Hardware</t>
  </si>
  <si>
    <t>1'-10"Deep x 2'-6"H Base Cabinet w/ Doors &amp; Associated Hardware</t>
  </si>
  <si>
    <t>Linen Cabinet:</t>
  </si>
  <si>
    <t>1'-4"Deep x 8'-0"H Linen Cabinet w/ Shelves</t>
  </si>
  <si>
    <t>Hydraulic Cabinet:</t>
  </si>
  <si>
    <t>Drawer:</t>
  </si>
  <si>
    <t>Simpson HUS1.81/12</t>
  </si>
  <si>
    <t>1/2"Dia x 10" Long Achor Bolts</t>
  </si>
  <si>
    <t>SILL PLATE:</t>
  </si>
  <si>
    <t>2x6 P.T Sill Plate</t>
  </si>
  <si>
    <t>WOOD POST:</t>
  </si>
  <si>
    <t>4x4 P.T Wood Post (2'-0" H)</t>
  </si>
  <si>
    <t>4x4 P.T Wood Post (9'-3" H)</t>
  </si>
  <si>
    <t>8x8 Timber Post (10'-0" H)</t>
  </si>
  <si>
    <t>WOOD BEAM:</t>
  </si>
  <si>
    <t>1-3/4" x 11.875" LVL Beam</t>
  </si>
  <si>
    <t>2x10 LVL Wood Beam</t>
  </si>
  <si>
    <t>4x10 Timber Beam</t>
  </si>
  <si>
    <t>6x8 Timber Beam</t>
  </si>
  <si>
    <t>1-3/4" x 11.875" LVL Beam - 12'</t>
  </si>
  <si>
    <t>2x10 LVL Wood Beam - 24'</t>
  </si>
  <si>
    <t>4x10 Timber Beam - 12'</t>
  </si>
  <si>
    <t>6x8 Timber Beam - 10'</t>
  </si>
  <si>
    <t>6x8 Timber Beam - 12'</t>
  </si>
  <si>
    <t>6x8 Timber Beam - 14'</t>
  </si>
  <si>
    <t>6x8 Timber Beam - 20'</t>
  </si>
  <si>
    <t>6x8 Timber Beam - 22'</t>
  </si>
  <si>
    <t>WOOD HEADER:</t>
  </si>
  <si>
    <t>2x8 Wood Header</t>
  </si>
  <si>
    <t>2x12 Wood Header</t>
  </si>
  <si>
    <t>2x8 Wood Header - 8'</t>
  </si>
  <si>
    <t>2x12 Wood Header - 18'</t>
  </si>
  <si>
    <t>2x12 Wood Header - 8'</t>
  </si>
  <si>
    <t>2x12 Wood Header - 10'</t>
  </si>
  <si>
    <t>2x12 Wood Header - 20'</t>
  </si>
  <si>
    <t>FLOOR TRUSSES:</t>
  </si>
  <si>
    <t>12" Deep Pre-Engineered Wood Trusses @ 24" O.C (264 LF)</t>
  </si>
  <si>
    <t>12" Deep Pre-Engineered Wood Trusses -  8'</t>
  </si>
  <si>
    <t>12" Deep Pre-Engineered Wood Trusses -  12'</t>
  </si>
  <si>
    <t>12" Deep Pre-Engineered Wood Trusses -  10'</t>
  </si>
  <si>
    <t>12" Deep Pre-Engineered Wood Trusses -  14'</t>
  </si>
  <si>
    <t>12" Deep Pre-Engineered Wood Trusses -  24'</t>
  </si>
  <si>
    <t>CEILING JOIST:</t>
  </si>
  <si>
    <t>FLOOR SHEATHING:</t>
  </si>
  <si>
    <t>No. of Sheets (4' x 8')</t>
  </si>
  <si>
    <t>Nails</t>
  </si>
  <si>
    <t>3/4" Plywood Sheathing (4'x8')</t>
  </si>
  <si>
    <t>2x10 Ceiling Joist @ 16" O.C (180 LF)</t>
  </si>
  <si>
    <t>2x10 SP #2 - 8'</t>
  </si>
  <si>
    <t>2x10 SP #2 - 10'</t>
  </si>
  <si>
    <t>2x6 Ceiling Joist @ 16" O.C (104 LF)</t>
  </si>
  <si>
    <t>2x6 SP #2 - 8'</t>
  </si>
  <si>
    <t>2x6 SP #2 - 10'</t>
  </si>
  <si>
    <t>2x6 SP #2 - 22'</t>
  </si>
  <si>
    <t>T&amp;G WOOD CEILING:</t>
  </si>
  <si>
    <t>2x6 T&amp;G Wood Ceiling</t>
  </si>
  <si>
    <t>CEILING SHEATHING:</t>
  </si>
  <si>
    <t>1x6 T&amp;G Wood Ceiling</t>
  </si>
  <si>
    <t>RIM BOARD:</t>
  </si>
  <si>
    <t>2x4 Rim Board</t>
  </si>
  <si>
    <t>2x10 Rim Board</t>
  </si>
  <si>
    <t>2x12 Rim Board</t>
  </si>
  <si>
    <t>WOOD BLOCKING:</t>
  </si>
  <si>
    <t>2x12 Wood Blocking</t>
  </si>
  <si>
    <t>2"W T.V Corner Trim</t>
  </si>
  <si>
    <t>1-1/2" Metal Edge Trim @ T.V Trim</t>
  </si>
  <si>
    <t>FLOOR WOOD FRAMING</t>
  </si>
  <si>
    <t>STAIR WOOD FRAMING</t>
  </si>
  <si>
    <t>BEAM:</t>
  </si>
  <si>
    <t>2x12 Stair Landing Beam</t>
  </si>
  <si>
    <t>2x12 Stair Landing Beam - 8'</t>
  </si>
  <si>
    <t>(3'-6'W Wooden Stair )  2x12 Stair Tread</t>
  </si>
  <si>
    <t>(3'-6'W Wooden Stair )  2x8 Stair Riser</t>
  </si>
  <si>
    <t>STAIR STRINGER:</t>
  </si>
  <si>
    <t>TREAD &amp; RISER:</t>
  </si>
  <si>
    <t>3x12 Timber Stringer</t>
  </si>
  <si>
    <t>BLOCKING:</t>
  </si>
  <si>
    <t>PLYWOOD SHEATHING On STAIRS:</t>
  </si>
  <si>
    <t>ROOF WOOD FRAMING</t>
  </si>
  <si>
    <t>1-3/4" x 14" LVL Ridge Beam</t>
  </si>
  <si>
    <t>2x10 Hip Beam</t>
  </si>
  <si>
    <t>2x10 Valley Beam</t>
  </si>
  <si>
    <t>8x20 Timber Beam</t>
  </si>
  <si>
    <t>8x12 Timber Beam</t>
  </si>
  <si>
    <t>1-3/4" x 14" LVL Ridge Beam - 22'</t>
  </si>
  <si>
    <t>1-3/4" x 14" LVL Ridge Beam - 20'</t>
  </si>
  <si>
    <t>2x10 Hip Beam - 16'</t>
  </si>
  <si>
    <t>2x10 Hip Beam - 8'</t>
  </si>
  <si>
    <t>2x10 Valley Beam - 8'</t>
  </si>
  <si>
    <t>8x20 Timber Beam - 22'</t>
  </si>
  <si>
    <t>8x12 Timber Beam - 22'</t>
  </si>
  <si>
    <t>ROOF RAFTER:</t>
  </si>
  <si>
    <t>4x8 Timber Rafter @ 30" O.C (113 SF)</t>
  </si>
  <si>
    <t>4x8 Timber Rafter - 8'</t>
  </si>
  <si>
    <t>2x8 SP #2 - 10'</t>
  </si>
  <si>
    <t>2x8 SP #2 - 12'</t>
  </si>
  <si>
    <t>2x8 SP #2 - 8'</t>
  </si>
  <si>
    <t>2x8 SP #2 - 16'</t>
  </si>
  <si>
    <t>2x8 Roof Rafter @ 16" O.C (588 LF)</t>
  </si>
  <si>
    <t>OUTLOOKER:</t>
  </si>
  <si>
    <t>2x4 SP #2 - 8'</t>
  </si>
  <si>
    <t>ROOF TIMBER RAFTER:</t>
  </si>
  <si>
    <t>6x10 Timber Rafter @ 48" O.C (151 LF)</t>
  </si>
  <si>
    <t>6x10 Timber Rafter - 8'</t>
  </si>
  <si>
    <t>6x10 Timber Rafter - 12'</t>
  </si>
  <si>
    <t>SOFFIT FRAMING:</t>
  </si>
  <si>
    <t>2x6 Soffit @ 12" O.C - 16'</t>
  </si>
  <si>
    <t>(1'-8"W) T&amp;G Nickle Gap Soffit</t>
  </si>
  <si>
    <t>1x4 Composite Trim</t>
  </si>
  <si>
    <t>2x8 Composite Trim</t>
  </si>
  <si>
    <t>5/4" x 2" Wood Trim w/ Drip Edge</t>
  </si>
  <si>
    <t>3x8 Wood Trim</t>
  </si>
  <si>
    <t>2x4 Wood Trim</t>
  </si>
  <si>
    <t>1x6 T&amp;G Wood Decking</t>
  </si>
  <si>
    <t>2"x2" Composite Trim</t>
  </si>
  <si>
    <t>PURLINS:</t>
  </si>
  <si>
    <t xml:space="preserve">3x6 Timber Purlins </t>
  </si>
  <si>
    <t>2x8 Wood Blocking</t>
  </si>
  <si>
    <t>HARDWARE:</t>
  </si>
  <si>
    <r>
      <t xml:space="preserve">Timber Rafter Connection
</t>
    </r>
    <r>
      <rPr>
        <sz val="11"/>
        <color rgb="FFFF0000"/>
        <rFont val="Calibri"/>
        <family val="2"/>
        <scheme val="minor"/>
      </rPr>
      <t>Note: By Specialty Engineer.</t>
    </r>
  </si>
  <si>
    <t>Simpson H2.5A</t>
  </si>
  <si>
    <t>SILL SEALER:</t>
  </si>
  <si>
    <r>
      <t xml:space="preserve">5.5" Sill Sealer - </t>
    </r>
    <r>
      <rPr>
        <b/>
        <sz val="11"/>
        <color theme="1"/>
        <rFont val="Calibri"/>
        <family val="2"/>
        <scheme val="minor"/>
      </rPr>
      <t>50 LF/Roll</t>
    </r>
  </si>
  <si>
    <t>2x6 Wood Blocking @ Millwork</t>
  </si>
  <si>
    <t>ROOF SHEATHING:</t>
  </si>
  <si>
    <t xml:space="preserve">06 23 00 </t>
  </si>
  <si>
    <t>Paint On (36" H) Stair Guard Railing
- 1 Coat of Primer &amp; 2 Coats of Paint</t>
  </si>
  <si>
    <t>Paint On (42" H) Stair Guard Railing
- 1 Coat of Primer &amp; 2 Coats of Paint</t>
  </si>
  <si>
    <t>Paint On Window Trim 
- 1 Coat of Primer &amp; 2 Coats of Paint</t>
  </si>
  <si>
    <t>Paint On Door Trim 
- 1 Coat of Primer &amp; 2 Coats of Paint</t>
  </si>
  <si>
    <t>Paint On Single Leaf Door
- 1 Coat of Primer &amp; 2 Coats of Paint</t>
  </si>
  <si>
    <t>Paint On MR Gypsum Board Ceiling
- 1 Coat of Primer &amp; 2 Coats of Paint</t>
  </si>
  <si>
    <t>Paint On Gypsum Board Ceiling
- 1 Coat of Primer &amp; 2 Coats of Paint</t>
  </si>
  <si>
    <t>Paint On 1x6 T&amp;G Nickle Gap Wood - Stained
- 1 Coat of Primer &amp; 2 Coats of Paint</t>
  </si>
  <si>
    <t>Paint On Gypsum Wall Board
- 1 Coat of Primer &amp; 2 Coats of Paint</t>
  </si>
  <si>
    <r>
      <t xml:space="preserve">Steel Trellis
</t>
    </r>
    <r>
      <rPr>
        <b/>
        <sz val="11"/>
        <color rgb="FFFF0000"/>
        <rFont val="Calibri"/>
        <family val="2"/>
        <scheme val="minor"/>
      </rPr>
      <t>Note: Details Not Given.</t>
    </r>
  </si>
  <si>
    <t>Material Assumed</t>
  </si>
  <si>
    <t>Thickened Edge:</t>
  </si>
  <si>
    <t>36"H Metal Hand Railing w/ Brackets &amp; Associated Hardware's</t>
  </si>
  <si>
    <t>42"H Metal Hand Railing w/ Brackets &amp; Associated Hardware's</t>
  </si>
  <si>
    <t>2x4 Out looker @ 16" O.C (70 LF)</t>
  </si>
  <si>
    <t>1'-0"Deep x 3'-6"H Upper Cabinet w/ Shelves &amp; Associated Hardware's</t>
  </si>
  <si>
    <t>1'-4"Deep x 3'-0"H Cabinet w/ Doors &amp; Associated Hardware's</t>
  </si>
  <si>
    <t>1'-4"Deep x 1'-10"H Hydraulic Cabinet w/ Doors &amp; Associated Hardware's</t>
  </si>
  <si>
    <t>1'-10"Deep x 1'-2"W x 10"H Drawer w/ Handle &amp; Associated Hardware</t>
  </si>
  <si>
    <t>R-38 Spray Foam Insulation @ Roof</t>
  </si>
  <si>
    <t>"101" 2'-6"W x 7'-0"H Single Panel Door
- Door Material: Glass
- Frame Material: Aluminum</t>
  </si>
  <si>
    <t>"102" 2'-6"W x 7'-0"H Single Panel Door
- Door Material: Glass
- Frame Material: Aluminum</t>
  </si>
  <si>
    <t>"100" 10'-0'W x 8'-0"H Storefront Door
- Door Material: Aluminum Clad Wood, Glass
- Frame Material: Aluminum Clad Wood</t>
  </si>
  <si>
    <t>4" THK. Spray Foam Insulation</t>
  </si>
  <si>
    <t>6" THK. Spray Foam Insulation</t>
  </si>
  <si>
    <t>8" THK. Spray Foam Insulation</t>
  </si>
  <si>
    <r>
      <t xml:space="preserve">"GWB-1" 5/8" Gypsum Board Ceiling (4'x8')
</t>
    </r>
    <r>
      <rPr>
        <sz val="11"/>
        <color rgb="FFFF0000"/>
        <rFont val="Calibri"/>
        <family val="2"/>
        <scheme val="minor"/>
      </rPr>
      <t>Note: Details Not Given.</t>
    </r>
  </si>
  <si>
    <r>
      <t xml:space="preserve">"GWB-1" 5/8" MR. Gypsum Board Ceiling (4'x8')
</t>
    </r>
    <r>
      <rPr>
        <sz val="11"/>
        <color rgb="FFFF0000"/>
        <rFont val="Calibri"/>
        <family val="2"/>
        <scheme val="minor"/>
      </rPr>
      <t>Note: Details Not Given.</t>
    </r>
  </si>
  <si>
    <r>
      <t xml:space="preserve">"T-1" Flat Ceiling
</t>
    </r>
    <r>
      <rPr>
        <sz val="11"/>
        <color rgb="FFFF0000"/>
        <rFont val="Calibri"/>
        <family val="2"/>
        <scheme val="minor"/>
      </rPr>
      <t>Note: Details Not Given.</t>
    </r>
  </si>
  <si>
    <r>
      <t xml:space="preserve">"WD-1" 1x6 T&amp;G Wood Ceiling
</t>
    </r>
    <r>
      <rPr>
        <sz val="11"/>
        <color rgb="FFFF0000"/>
        <rFont val="Calibri"/>
        <family val="2"/>
        <scheme val="minor"/>
      </rPr>
      <t>Note: Details Not Given.</t>
    </r>
  </si>
  <si>
    <r>
      <t xml:space="preserve">"WD-2" 1x6 T&amp;G Wood Ceiling
</t>
    </r>
    <r>
      <rPr>
        <sz val="11"/>
        <color rgb="FFFF0000"/>
        <rFont val="Calibri"/>
        <family val="2"/>
        <scheme val="minor"/>
      </rPr>
      <t>Note: Details Not Given.</t>
    </r>
  </si>
  <si>
    <t>Wooden Wall Base @ Sauna</t>
  </si>
  <si>
    <t>Polished Stone @ Interior Wall</t>
  </si>
  <si>
    <t>7'-0"W x 7'-6"H Custom Mirror w/ Trim &amp; Stretching Mount Bar</t>
  </si>
  <si>
    <t>4"W Continuous Slot Diffuser</t>
  </si>
  <si>
    <t>Allowance For Mechanical Work</t>
  </si>
  <si>
    <t>Allowance For Wire &amp; Conduit</t>
  </si>
  <si>
    <t>CONT. FOOTING (3000 PSI) :</t>
  </si>
  <si>
    <t>PAD FOOTING (3000 PSI) :</t>
  </si>
  <si>
    <t>REINF. CONCRETE WALL (4500 PSI) :</t>
  </si>
  <si>
    <t>CONCRETE STAIR 3000 PSI :</t>
  </si>
  <si>
    <t>Concrete Slab 4500 PSI:</t>
  </si>
  <si>
    <t>RETAINING WALLS 4500 PSI:</t>
  </si>
  <si>
    <t>CORBETT RESIDENCE</t>
  </si>
  <si>
    <t>845 LORIDANS DR NE ATLANTA, GA 30342</t>
  </si>
  <si>
    <t>GC + MEP</t>
  </si>
  <si>
    <t>Rain Garden
- 18: Amended Soil</t>
  </si>
  <si>
    <t>2x4 Wood Stud (10'-0" H)</t>
  </si>
  <si>
    <t>2x4 Double Top Plate</t>
  </si>
  <si>
    <t>2x4 P.T Bottom Plate</t>
  </si>
  <si>
    <t>2x4 Bottom Plate</t>
  </si>
  <si>
    <t>2x4 Wood Stud (8'-0" H)</t>
  </si>
  <si>
    <t>2x4 Wood Stud (9'-0" H)</t>
  </si>
  <si>
    <t>2x8 Bottom Plate</t>
  </si>
  <si>
    <t>2x6 Wood Stud (12'-0" H)</t>
  </si>
  <si>
    <t>2x6 Double Top Plate</t>
  </si>
  <si>
    <t>2x6 Bottom Plate</t>
  </si>
  <si>
    <t>2x4 Wood Stud (12'-0" H)</t>
  </si>
  <si>
    <t>2x6 Wood Stud (22'-0" H)</t>
  </si>
  <si>
    <t>2x6 P.T Bottom Plate</t>
  </si>
  <si>
    <t>2x6 Wood Stud (10'-0" H)</t>
  </si>
  <si>
    <t>2x6 Wood Stud (16'-0" H)</t>
  </si>
  <si>
    <t>2x8 Wood Stud (12'-0" H)</t>
  </si>
  <si>
    <t>2x8 Double Top Plate</t>
  </si>
  <si>
    <t>L-0 , L-4</t>
  </si>
  <si>
    <t>S-101</t>
  </si>
  <si>
    <t>S-302</t>
  </si>
  <si>
    <t>A-201 , A-501</t>
  </si>
  <si>
    <t>A-601/Detail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</si>
</sst>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[$$-409]* #,##0.00_ ;_-[$$-409]* \-#,##0.00\ ;_-[$$-409]* &quot;-&quot;??_ ;_-@_ "/>
    <numFmt numFmtId="166" formatCode="_-* #,##0.00_-;\-* #,##0.00_-;_-* &quot;-&quot;_-;_-@_-"/>
    <numFmt numFmtId="167" formatCode="_-[$$-409]* #,##0_ ;_-[$$-409]* \-#,##0\ ;_-[$$-409]* &quot;-&quot;??_ ;_-@_ "/>
    <numFmt numFmtId="168" formatCode="_(&quot;$&quot;* #,##0_);_(&quot;$&quot;* \(#,##0\);_(&quot;$&quot;* &quot;-&quot;??_);_(@_)"/>
    <numFmt numFmtId="169" formatCode="00\ 00\ 00"/>
    <numFmt numFmtId="170" formatCode="&quot;$&quot;#,##0.00"/>
    <numFmt numFmtId="171" formatCode="[$-F800]dddd\,\ mmmm\ dd\,\ yyyy"/>
    <numFmt numFmtId="172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rgb="FFA500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3" borderId="36" applyNumberFormat="0" applyFont="0" applyAlignment="0" applyProtection="0"/>
  </cellStyleXfs>
  <cellXfs count="364">
    <xf numFmtId="0" fontId="0" fillId="0" borderId="0" xfId="0"/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8" fontId="4" fillId="0" borderId="28" xfId="1" applyNumberFormat="1" applyFont="1" applyBorder="1" applyAlignment="1">
      <alignment horizontal="center" vertical="center"/>
    </xf>
    <xf numFmtId="168" fontId="4" fillId="0" borderId="28" xfId="1" applyNumberFormat="1" applyFont="1" applyFill="1" applyBorder="1" applyAlignment="1">
      <alignment horizontal="center" vertical="center" wrapText="1"/>
    </xf>
    <xf numFmtId="165" fontId="6" fillId="0" borderId="35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0" fillId="0" borderId="9" xfId="4" applyFont="1" applyBorder="1" applyAlignment="1">
      <alignment vertical="center"/>
    </xf>
    <xf numFmtId="164" fontId="0" fillId="0" borderId="26" xfId="4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169" fontId="6" fillId="0" borderId="25" xfId="0" applyNumberFormat="1" applyFont="1" applyBorder="1" applyAlignment="1">
      <alignment horizontal="center" vertical="center"/>
    </xf>
    <xf numFmtId="43" fontId="0" fillId="0" borderId="9" xfId="4" applyNumberFormat="1" applyFont="1" applyBorder="1" applyAlignment="1">
      <alignment vertical="center"/>
    </xf>
    <xf numFmtId="9" fontId="3" fillId="2" borderId="8" xfId="2" applyFont="1" applyFill="1" applyBorder="1" applyAlignment="1">
      <alignment horizontal="center" vertical="center"/>
    </xf>
    <xf numFmtId="2" fontId="0" fillId="2" borderId="8" xfId="4" applyNumberFormat="1" applyFont="1" applyFill="1" applyBorder="1" applyAlignment="1">
      <alignment horizontal="center" vertical="center"/>
    </xf>
    <xf numFmtId="170" fontId="0" fillId="2" borderId="1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9" fontId="5" fillId="0" borderId="25" xfId="0" applyNumberFormat="1" applyFont="1" applyBorder="1" applyAlignment="1">
      <alignment horizontal="center" vertical="center"/>
    </xf>
    <xf numFmtId="166" fontId="0" fillId="2" borderId="14" xfId="4" applyNumberFormat="1" applyFont="1" applyFill="1" applyBorder="1" applyAlignment="1">
      <alignment horizontal="center" vertical="center"/>
    </xf>
    <xf numFmtId="166" fontId="0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8" fontId="4" fillId="0" borderId="39" xfId="1" applyNumberFormat="1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3" fillId="2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9" fontId="0" fillId="0" borderId="12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0" fontId="4" fillId="2" borderId="32" xfId="3" applyFont="1" applyFill="1" applyBorder="1" applyAlignment="1">
      <alignment vertical="center"/>
    </xf>
    <xf numFmtId="0" fontId="4" fillId="2" borderId="30" xfId="3" applyFont="1" applyFill="1" applyBorder="1" applyAlignment="1">
      <alignment vertical="center"/>
    </xf>
    <xf numFmtId="165" fontId="5" fillId="2" borderId="30" xfId="1" applyNumberFormat="1" applyFont="1" applyFill="1" applyBorder="1" applyAlignment="1">
      <alignment horizontal="center" vertical="center"/>
    </xf>
    <xf numFmtId="165" fontId="5" fillId="2" borderId="47" xfId="4" applyNumberFormat="1" applyFont="1" applyFill="1" applyBorder="1" applyAlignment="1">
      <alignment horizontal="center" vertical="center"/>
    </xf>
    <xf numFmtId="2" fontId="5" fillId="2" borderId="47" xfId="4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9" fontId="0" fillId="0" borderId="59" xfId="2" applyFont="1" applyFill="1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169" fontId="15" fillId="0" borderId="6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center" vertical="center"/>
    </xf>
    <xf numFmtId="2" fontId="0" fillId="2" borderId="7" xfId="4" applyNumberFormat="1" applyFont="1" applyFill="1" applyBorder="1" applyAlignment="1">
      <alignment horizontal="center" vertical="center"/>
    </xf>
    <xf numFmtId="170" fontId="0" fillId="2" borderId="43" xfId="1" applyNumberFormat="1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169" fontId="0" fillId="0" borderId="66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1" fontId="0" fillId="0" borderId="20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9" fontId="3" fillId="2" borderId="20" xfId="2" applyFont="1" applyFill="1" applyBorder="1" applyAlignment="1">
      <alignment horizontal="center" vertical="center"/>
    </xf>
    <xf numFmtId="1" fontId="3" fillId="2" borderId="20" xfId="3" applyNumberFormat="1" applyFont="1" applyFill="1" applyBorder="1" applyAlignment="1">
      <alignment horizontal="center" vertical="center"/>
    </xf>
    <xf numFmtId="2" fontId="0" fillId="2" borderId="20" xfId="4" applyNumberFormat="1" applyFont="1" applyFill="1" applyBorder="1" applyAlignment="1">
      <alignment horizontal="center" vertical="center"/>
    </xf>
    <xf numFmtId="170" fontId="0" fillId="2" borderId="40" xfId="1" applyNumberFormat="1" applyFont="1" applyFill="1" applyBorder="1" applyAlignment="1">
      <alignment horizontal="center" vertical="center"/>
    </xf>
    <xf numFmtId="170" fontId="0" fillId="2" borderId="21" xfId="1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2" fontId="0" fillId="2" borderId="71" xfId="4" applyNumberFormat="1" applyFont="1" applyFill="1" applyBorder="1" applyAlignment="1">
      <alignment horizontal="center" vertical="center"/>
    </xf>
    <xf numFmtId="170" fontId="0" fillId="2" borderId="70" xfId="1" applyNumberFormat="1" applyFont="1" applyFill="1" applyBorder="1" applyAlignment="1">
      <alignment horizontal="center" vertical="center"/>
    </xf>
    <xf numFmtId="170" fontId="0" fillId="2" borderId="72" xfId="1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vertical="center" wrapText="1"/>
    </xf>
    <xf numFmtId="0" fontId="6" fillId="0" borderId="54" xfId="0" applyFont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center"/>
    </xf>
    <xf numFmtId="9" fontId="3" fillId="2" borderId="73" xfId="2" applyFont="1" applyFill="1" applyBorder="1" applyAlignment="1">
      <alignment horizontal="center" vertical="center"/>
    </xf>
    <xf numFmtId="1" fontId="3" fillId="2" borderId="37" xfId="3" applyNumberFormat="1" applyFont="1" applyFill="1" applyBorder="1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68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166" fontId="4" fillId="0" borderId="3" xfId="4" applyNumberFormat="1" applyFont="1" applyFill="1" applyBorder="1" applyAlignment="1">
      <alignment horizontal="center" vertical="center" wrapText="1"/>
    </xf>
    <xf numFmtId="167" fontId="4" fillId="0" borderId="3" xfId="4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4" fillId="0" borderId="42" xfId="1" applyNumberFormat="1" applyFont="1" applyFill="1" applyBorder="1" applyAlignment="1">
      <alignment horizontal="center" vertical="center" wrapText="1"/>
    </xf>
    <xf numFmtId="167" fontId="6" fillId="0" borderId="6" xfId="0" applyNumberFormat="1" applyFont="1" applyBorder="1" applyAlignment="1">
      <alignment vertical="center"/>
    </xf>
    <xf numFmtId="167" fontId="0" fillId="0" borderId="34" xfId="0" applyNumberForma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167" fontId="0" fillId="0" borderId="21" xfId="0" applyNumberFormat="1" applyBorder="1" applyAlignment="1">
      <alignment vertical="center"/>
    </xf>
    <xf numFmtId="167" fontId="6" fillId="0" borderId="29" xfId="0" applyNumberFormat="1" applyFont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169" fontId="0" fillId="2" borderId="0" xfId="0" applyNumberForma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2" fillId="4" borderId="1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horizontal="center" vertical="center" wrapText="1"/>
    </xf>
    <xf numFmtId="0" fontId="18" fillId="4" borderId="4" xfId="5" applyFont="1" applyFill="1" applyBorder="1" applyAlignment="1">
      <alignment vertical="center" wrapText="1"/>
    </xf>
    <xf numFmtId="0" fontId="12" fillId="4" borderId="2" xfId="5" applyFont="1" applyFill="1" applyBorder="1" applyAlignment="1">
      <alignment vertical="center" wrapText="1"/>
    </xf>
    <xf numFmtId="0" fontId="12" fillId="6" borderId="1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horizontal="center" vertical="center" wrapText="1"/>
    </xf>
    <xf numFmtId="0" fontId="18" fillId="6" borderId="4" xfId="5" applyFont="1" applyFill="1" applyBorder="1" applyAlignment="1">
      <alignment vertical="center" wrapText="1"/>
    </xf>
    <xf numFmtId="1" fontId="7" fillId="0" borderId="4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12" fillId="4" borderId="61" xfId="5" applyFont="1" applyFill="1" applyBorder="1" applyAlignment="1">
      <alignment horizontal="center" vertical="center" wrapText="1"/>
    </xf>
    <xf numFmtId="0" fontId="18" fillId="4" borderId="62" xfId="5" applyFont="1" applyFill="1" applyBorder="1" applyAlignment="1">
      <alignment vertical="center" wrapText="1"/>
    </xf>
    <xf numFmtId="0" fontId="12" fillId="6" borderId="32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horizontal="center" vertical="center" wrapText="1"/>
    </xf>
    <xf numFmtId="0" fontId="21" fillId="6" borderId="33" xfId="5" applyFont="1" applyFill="1" applyBorder="1" applyAlignment="1">
      <alignment horizontal="center" vertical="center" wrapText="1"/>
    </xf>
    <xf numFmtId="0" fontId="18" fillId="6" borderId="33" xfId="5" applyFont="1" applyFill="1" applyBorder="1" applyAlignment="1">
      <alignment vertical="center" wrapText="1"/>
    </xf>
    <xf numFmtId="0" fontId="12" fillId="6" borderId="30" xfId="5" applyFont="1" applyFill="1" applyBorder="1" applyAlignment="1">
      <alignment vertical="center" wrapText="1"/>
    </xf>
    <xf numFmtId="169" fontId="22" fillId="0" borderId="60" xfId="0" applyNumberFormat="1" applyFont="1" applyBorder="1" applyAlignment="1">
      <alignment horizontal="center" vertical="center" wrapText="1"/>
    </xf>
    <xf numFmtId="0" fontId="4" fillId="7" borderId="7" xfId="5" applyFont="1" applyFill="1" applyBorder="1" applyAlignment="1">
      <alignment horizontal="justify" vertical="center"/>
    </xf>
    <xf numFmtId="169" fontId="12" fillId="4" borderId="61" xfId="5" applyNumberFormat="1" applyFont="1" applyFill="1" applyBorder="1" applyAlignment="1">
      <alignment horizontal="center" vertical="center" wrapText="1"/>
    </xf>
    <xf numFmtId="0" fontId="4" fillId="7" borderId="8" xfId="5" applyFont="1" applyFill="1" applyBorder="1" applyAlignment="1">
      <alignment horizontal="justify" vertical="center"/>
    </xf>
    <xf numFmtId="0" fontId="4" fillId="7" borderId="45" xfId="5" applyFont="1" applyFill="1" applyBorder="1" applyAlignment="1">
      <alignment horizontal="justify" vertical="center"/>
    </xf>
    <xf numFmtId="169" fontId="22" fillId="0" borderId="12" xfId="0" applyNumberFormat="1" applyFont="1" applyBorder="1" applyAlignment="1">
      <alignment horizontal="center" vertical="center" wrapText="1"/>
    </xf>
    <xf numFmtId="0" fontId="21" fillId="6" borderId="4" xfId="5" applyFont="1" applyFill="1" applyBorder="1" applyAlignment="1">
      <alignment horizontal="center" vertical="center" wrapText="1"/>
    </xf>
    <xf numFmtId="165" fontId="12" fillId="6" borderId="22" xfId="1" applyNumberFormat="1" applyFont="1" applyFill="1" applyBorder="1" applyAlignment="1">
      <alignment horizontal="center" vertical="center"/>
    </xf>
    <xf numFmtId="165" fontId="12" fillId="6" borderId="38" xfId="4" applyNumberFormat="1" applyFont="1" applyFill="1" applyBorder="1" applyAlignment="1">
      <alignment horizontal="center" vertical="center"/>
    </xf>
    <xf numFmtId="2" fontId="12" fillId="6" borderId="38" xfId="4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168" fontId="4" fillId="8" borderId="39" xfId="1" applyNumberFormat="1" applyFont="1" applyFill="1" applyBorder="1" applyAlignment="1">
      <alignment horizontal="center" vertical="center" wrapText="1"/>
    </xf>
    <xf numFmtId="167" fontId="0" fillId="8" borderId="11" xfId="0" applyNumberFormat="1" applyFill="1" applyBorder="1" applyAlignment="1">
      <alignment horizontal="center" vertical="center"/>
    </xf>
    <xf numFmtId="9" fontId="12" fillId="8" borderId="3" xfId="2" applyFont="1" applyFill="1" applyBorder="1" applyAlignment="1">
      <alignment horizontal="center" vertical="center"/>
    </xf>
    <xf numFmtId="167" fontId="18" fillId="8" borderId="9" xfId="0" applyNumberFormat="1" applyFont="1" applyFill="1" applyBorder="1" applyAlignment="1">
      <alignment vertical="center"/>
    </xf>
    <xf numFmtId="167" fontId="0" fillId="8" borderId="9" xfId="0" applyNumberFormat="1" applyFill="1" applyBorder="1" applyAlignment="1">
      <alignment vertical="center"/>
    </xf>
    <xf numFmtId="165" fontId="25" fillId="8" borderId="21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167" fontId="8" fillId="8" borderId="2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26" fillId="6" borderId="19" xfId="0" quotePrefix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 wrapText="1"/>
    </xf>
    <xf numFmtId="167" fontId="21" fillId="6" borderId="20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165" fontId="12" fillId="4" borderId="8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8" fontId="12" fillId="4" borderId="41" xfId="1" applyNumberFormat="1" applyFont="1" applyFill="1" applyBorder="1" applyAlignment="1">
      <alignment horizontal="center" vertical="center" wrapText="1"/>
    </xf>
    <xf numFmtId="167" fontId="21" fillId="6" borderId="40" xfId="0" applyNumberFormat="1" applyFont="1" applyFill="1" applyBorder="1" applyAlignment="1">
      <alignment horizontal="center" vertical="center" wrapText="1"/>
    </xf>
    <xf numFmtId="165" fontId="5" fillId="9" borderId="3" xfId="4" applyNumberFormat="1" applyFont="1" applyFill="1" applyBorder="1" applyAlignment="1">
      <alignment horizontal="center" vertical="center"/>
    </xf>
    <xf numFmtId="2" fontId="5" fillId="9" borderId="3" xfId="4" applyNumberFormat="1" applyFont="1" applyFill="1" applyBorder="1" applyAlignment="1">
      <alignment horizontal="right" vertical="center"/>
    </xf>
    <xf numFmtId="168" fontId="4" fillId="9" borderId="3" xfId="1" applyNumberFormat="1" applyFont="1" applyFill="1" applyBorder="1" applyAlignment="1">
      <alignment horizontal="center" vertical="center" wrapText="1"/>
    </xf>
    <xf numFmtId="167" fontId="4" fillId="9" borderId="41" xfId="1" applyNumberFormat="1" applyFont="1" applyFill="1" applyBorder="1" applyAlignment="1">
      <alignment horizontal="center" vertical="center" wrapText="1"/>
    </xf>
    <xf numFmtId="167" fontId="4" fillId="9" borderId="42" xfId="1" applyNumberFormat="1" applyFont="1" applyFill="1" applyBorder="1" applyAlignment="1">
      <alignment horizontal="center" vertical="center" wrapText="1"/>
    </xf>
    <xf numFmtId="167" fontId="4" fillId="9" borderId="74" xfId="1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" fillId="7" borderId="8" xfId="5" applyFont="1" applyFill="1" applyBorder="1" applyAlignment="1">
      <alignment horizontal="left" vertical="center"/>
    </xf>
    <xf numFmtId="0" fontId="0" fillId="0" borderId="8" xfId="0" applyBorder="1"/>
    <xf numFmtId="169" fontId="15" fillId="0" borderId="70" xfId="0" applyNumberFormat="1" applyFont="1" applyBorder="1" applyAlignment="1">
      <alignment horizontal="center" vertical="center" wrapText="1"/>
    </xf>
    <xf numFmtId="167" fontId="0" fillId="8" borderId="34" xfId="0" applyNumberForma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7" borderId="8" xfId="5" applyFont="1" applyFill="1" applyBorder="1" applyAlignment="1">
      <alignment horizontal="center" vertical="center"/>
    </xf>
    <xf numFmtId="169" fontId="15" fillId="0" borderId="25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right" vertical="center"/>
    </xf>
    <xf numFmtId="1" fontId="30" fillId="0" borderId="8" xfId="0" applyNumberFormat="1" applyFont="1" applyBorder="1" applyAlignment="1">
      <alignment horizontal="center" vertical="center"/>
    </xf>
    <xf numFmtId="165" fontId="12" fillId="6" borderId="33" xfId="5" applyNumberFormat="1" applyFont="1" applyFill="1" applyBorder="1" applyAlignment="1">
      <alignment vertical="center" wrapText="1"/>
    </xf>
    <xf numFmtId="165" fontId="5" fillId="7" borderId="3" xfId="1" applyNumberFormat="1" applyFont="1" applyFill="1" applyBorder="1" applyAlignment="1">
      <alignment vertical="center" wrapText="1"/>
    </xf>
    <xf numFmtId="165" fontId="0" fillId="2" borderId="7" xfId="1" applyNumberFormat="1" applyFont="1" applyFill="1" applyBorder="1" applyAlignment="1">
      <alignment horizontal="center" vertical="center"/>
    </xf>
    <xf numFmtId="165" fontId="12" fillId="6" borderId="4" xfId="5" applyNumberFormat="1" applyFont="1" applyFill="1" applyBorder="1" applyAlignment="1">
      <alignment vertical="center" wrapText="1"/>
    </xf>
    <xf numFmtId="165" fontId="0" fillId="2" borderId="59" xfId="1" applyNumberFormat="1" applyFont="1" applyFill="1" applyBorder="1" applyAlignment="1">
      <alignment horizontal="center" vertical="center"/>
    </xf>
    <xf numFmtId="165" fontId="0" fillId="2" borderId="37" xfId="1" applyNumberFormat="1" applyFont="1" applyFill="1" applyBorder="1" applyAlignment="1">
      <alignment horizontal="center" vertical="center"/>
    </xf>
    <xf numFmtId="165" fontId="17" fillId="2" borderId="0" xfId="0" applyNumberFormat="1" applyFont="1" applyFill="1" applyAlignment="1">
      <alignment vertical="center" wrapText="1"/>
    </xf>
    <xf numFmtId="165" fontId="12" fillId="4" borderId="4" xfId="5" applyNumberFormat="1" applyFont="1" applyFill="1" applyBorder="1" applyAlignment="1">
      <alignment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2" borderId="20" xfId="1" applyNumberFormat="1" applyFont="1" applyFill="1" applyBorder="1" applyAlignment="1">
      <alignment horizontal="center" vertical="center"/>
    </xf>
    <xf numFmtId="165" fontId="3" fillId="2" borderId="71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0" fillId="2" borderId="20" xfId="1" applyNumberFormat="1" applyFont="1" applyFill="1" applyBorder="1" applyAlignment="1">
      <alignment horizontal="center" vertical="center"/>
    </xf>
    <xf numFmtId="165" fontId="0" fillId="2" borderId="69" xfId="1" applyNumberFormat="1" applyFont="1" applyFill="1" applyBorder="1" applyAlignment="1">
      <alignment horizontal="center" vertical="center"/>
    </xf>
    <xf numFmtId="165" fontId="4" fillId="0" borderId="3" xfId="4" applyNumberFormat="1" applyFon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7" xfId="0" applyNumberFormat="1" applyFont="1" applyBorder="1" applyAlignment="1">
      <alignment horizontal="center" vertical="center"/>
    </xf>
    <xf numFmtId="165" fontId="0" fillId="2" borderId="40" xfId="1" applyNumberFormat="1" applyFont="1" applyFill="1" applyBorder="1" applyAlignment="1">
      <alignment horizontal="center" vertical="center"/>
    </xf>
    <xf numFmtId="165" fontId="12" fillId="6" borderId="38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72" fontId="4" fillId="0" borderId="3" xfId="4" applyNumberFormat="1" applyFont="1" applyFill="1" applyBorder="1" applyAlignment="1">
      <alignment horizontal="center" vertical="center" wrapText="1"/>
    </xf>
    <xf numFmtId="172" fontId="12" fillId="6" borderId="33" xfId="5" applyNumberFormat="1" applyFont="1" applyFill="1" applyBorder="1" applyAlignment="1">
      <alignment vertical="center" wrapText="1"/>
    </xf>
    <xf numFmtId="172" fontId="12" fillId="4" borderId="4" xfId="5" applyNumberFormat="1" applyFont="1" applyFill="1" applyBorder="1" applyAlignment="1">
      <alignment vertical="center" wrapText="1"/>
    </xf>
    <xf numFmtId="172" fontId="0" fillId="2" borderId="7" xfId="4" applyNumberFormat="1" applyFont="1" applyFill="1" applyBorder="1" applyAlignment="1">
      <alignment horizontal="center" vertical="center"/>
    </xf>
    <xf numFmtId="172" fontId="0" fillId="2" borderId="8" xfId="4" applyNumberFormat="1" applyFont="1" applyFill="1" applyBorder="1" applyAlignment="1">
      <alignment horizontal="center" vertical="center"/>
    </xf>
    <xf numFmtId="172" fontId="5" fillId="2" borderId="3" xfId="4" applyNumberFormat="1" applyFont="1" applyFill="1" applyBorder="1" applyAlignment="1">
      <alignment horizontal="center" vertical="center"/>
    </xf>
    <xf numFmtId="172" fontId="5" fillId="2" borderId="47" xfId="4" applyNumberFormat="1" applyFont="1" applyFill="1" applyBorder="1" applyAlignment="1">
      <alignment horizontal="center" vertical="center"/>
    </xf>
    <xf numFmtId="172" fontId="5" fillId="2" borderId="30" xfId="1" applyNumberFormat="1" applyFont="1" applyFill="1" applyBorder="1" applyAlignment="1">
      <alignment horizontal="center" vertical="center"/>
    </xf>
    <xf numFmtId="172" fontId="12" fillId="6" borderId="4" xfId="5" applyNumberFormat="1" applyFont="1" applyFill="1" applyBorder="1" applyAlignment="1">
      <alignment vertical="center" wrapText="1"/>
    </xf>
    <xf numFmtId="172" fontId="0" fillId="2" borderId="20" xfId="4" applyNumberFormat="1" applyFont="1" applyFill="1" applyBorder="1" applyAlignment="1">
      <alignment horizontal="center" vertical="center"/>
    </xf>
    <xf numFmtId="172" fontId="12" fillId="6" borderId="38" xfId="4" applyNumberFormat="1" applyFont="1" applyFill="1" applyBorder="1" applyAlignment="1">
      <alignment horizontal="center" vertical="center"/>
    </xf>
    <xf numFmtId="172" fontId="0" fillId="2" borderId="71" xfId="4" applyNumberFormat="1" applyFont="1" applyFill="1" applyBorder="1" applyAlignment="1">
      <alignment horizontal="center" vertical="center"/>
    </xf>
    <xf numFmtId="172" fontId="17" fillId="2" borderId="0" xfId="0" applyNumberFormat="1" applyFont="1" applyFill="1" applyAlignment="1">
      <alignment vertical="center" wrapText="1"/>
    </xf>
    <xf numFmtId="172" fontId="0" fillId="0" borderId="0" xfId="4" applyNumberFormat="1" applyFont="1" applyAlignment="1">
      <alignment horizontal="center" vertical="center"/>
    </xf>
    <xf numFmtId="9" fontId="6" fillId="0" borderId="0" xfId="2" applyFont="1" applyAlignment="1">
      <alignment vertical="center"/>
    </xf>
    <xf numFmtId="10" fontId="5" fillId="0" borderId="7" xfId="0" applyNumberFormat="1" applyFont="1" applyBorder="1" applyAlignment="1">
      <alignment horizontal="center" vertical="center"/>
    </xf>
    <xf numFmtId="10" fontId="5" fillId="8" borderId="8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165" fontId="6" fillId="10" borderId="2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165" fontId="20" fillId="6" borderId="32" xfId="0" applyNumberFormat="1" applyFont="1" applyFill="1" applyBorder="1" applyAlignment="1">
      <alignment horizontal="center" vertical="center" wrapText="1"/>
    </xf>
    <xf numFmtId="165" fontId="20" fillId="6" borderId="33" xfId="0" applyNumberFormat="1" applyFont="1" applyFill="1" applyBorder="1" applyAlignment="1">
      <alignment horizontal="center" vertical="center" wrapText="1"/>
    </xf>
    <xf numFmtId="165" fontId="20" fillId="6" borderId="3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67" fontId="5" fillId="2" borderId="32" xfId="1" applyNumberFormat="1" applyFont="1" applyFill="1" applyBorder="1" applyAlignment="1">
      <alignment horizontal="center" vertical="center"/>
    </xf>
    <xf numFmtId="167" fontId="5" fillId="2" borderId="30" xfId="1" applyNumberFormat="1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7" fontId="5" fillId="2" borderId="2" xfId="1" applyNumberFormat="1" applyFont="1" applyFill="1" applyBorder="1" applyAlignment="1">
      <alignment horizontal="center" vertical="center"/>
    </xf>
    <xf numFmtId="0" fontId="19" fillId="9" borderId="32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165" fontId="19" fillId="9" borderId="1" xfId="0" applyNumberFormat="1" applyFont="1" applyFill="1" applyBorder="1" applyAlignment="1">
      <alignment horizontal="center" vertical="center" wrapText="1"/>
    </xf>
    <xf numFmtId="165" fontId="19" fillId="9" borderId="4" xfId="0" applyNumberFormat="1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7" fontId="4" fillId="9" borderId="1" xfId="1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>
      <alignment horizontal="right" vertical="center"/>
    </xf>
    <xf numFmtId="167" fontId="4" fillId="9" borderId="2" xfId="1" applyNumberFormat="1" applyFont="1" applyFill="1" applyBorder="1" applyAlignment="1">
      <alignment horizontal="right" vertical="center"/>
    </xf>
    <xf numFmtId="0" fontId="12" fillId="6" borderId="1" xfId="3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/>
    </xf>
    <xf numFmtId="167" fontId="12" fillId="6" borderId="63" xfId="1" applyNumberFormat="1" applyFont="1" applyFill="1" applyBorder="1" applyAlignment="1">
      <alignment horizontal="center" vertical="center"/>
    </xf>
    <xf numFmtId="167" fontId="12" fillId="6" borderId="64" xfId="1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30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166" fontId="0" fillId="2" borderId="15" xfId="4" applyNumberFormat="1" applyFont="1" applyFill="1" applyBorder="1" applyAlignment="1">
      <alignment horizontal="center" vertical="center"/>
    </xf>
    <xf numFmtId="166" fontId="0" fillId="2" borderId="22" xfId="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171" fontId="14" fillId="0" borderId="33" xfId="0" applyNumberFormat="1" applyFont="1" applyBorder="1" applyAlignment="1">
      <alignment horizontal="center" vertical="center" wrapText="1"/>
    </xf>
    <xf numFmtId="171" fontId="14" fillId="0" borderId="30" xfId="0" applyNumberFormat="1" applyFont="1" applyBorder="1" applyAlignment="1">
      <alignment horizontal="center" vertical="center" wrapText="1"/>
    </xf>
  </cellXfs>
  <cellStyles count="6">
    <cellStyle name="Comma [0]" xfId="4" builtinId="6"/>
    <cellStyle name="Currency" xfId="1" builtinId="4"/>
    <cellStyle name="Normal" xfId="0" builtinId="0"/>
    <cellStyle name="Normal 2" xfId="3" xr:uid="{00000000-0005-0000-0000-000003000000}"/>
    <cellStyle name="Note 2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A50021"/>
      <color rgb="FFCC0000"/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79388</xdr:colOff>
      <xdr:row>45</xdr:row>
      <xdr:rowOff>158750</xdr:rowOff>
    </xdr:from>
    <xdr:to>
      <xdr:col>10</xdr:col>
      <xdr:colOff>951152</xdr:colOff>
      <xdr:row>55</xdr:row>
      <xdr:rowOff>31147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894F9D-3275-2312-B69C-35B1E4ED2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7781" y="14491607"/>
          <a:ext cx="4114800" cy="2911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269394</xdr:colOff>
      <xdr:row>0</xdr:row>
      <xdr:rowOff>230908</xdr:rowOff>
    </xdr:from>
    <xdr:to>
      <xdr:col>3</xdr:col>
      <xdr:colOff>655803</xdr:colOff>
      <xdr:row>4</xdr:row>
      <xdr:rowOff>327120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A83DFE-A3F3-D870-6757-C66637864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94" y="230908"/>
          <a:ext cx="3003379" cy="2405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56"/>
  <sheetViews>
    <sheetView view="pageBreakPreview" zoomScale="56" zoomScaleNormal="85" zoomScaleSheetLayoutView="85" workbookViewId="0">
      <pane ySplit="1" topLeftCell="A20" activePane="bottomLeft" state="frozen"/>
      <selection pane="bottomLeft" activeCell="K62" sqref="K62"/>
    </sheetView>
  </sheetViews>
  <sheetFormatPr defaultColWidth="9.1796875" defaultRowHeight="14.5" x14ac:dyDescent="0.35"/>
  <cols>
    <col min="1" max="1" width="9.81640625" style="48" customWidth="1"/>
    <col min="2" max="2" width="15.1796875" style="49" customWidth="1"/>
    <col min="3" max="3" width="52.54296875" style="48" customWidth="1"/>
    <col min="4" max="4" width="15.81640625" style="48" customWidth="1"/>
    <col min="5" max="5" width="15.81640625" style="50" customWidth="1"/>
    <col min="6" max="6" width="14.81640625" style="50" customWidth="1"/>
    <col min="7" max="7" width="14.1796875" style="50" customWidth="1"/>
    <col min="8" max="8" width="16.81640625" style="50" customWidth="1"/>
    <col min="9" max="9" width="14.1796875" style="50" customWidth="1"/>
    <col min="10" max="11" width="15.453125" style="50" customWidth="1"/>
    <col min="12" max="13" width="19.1796875" style="50" customWidth="1"/>
    <col min="14" max="14" width="10.81640625" style="48" customWidth="1"/>
    <col min="15" max="16384" width="9.1796875" style="48"/>
  </cols>
  <sheetData>
    <row r="1" spans="1:17" ht="37.5" customHeight="1" thickBot="1" x14ac:dyDescent="0.4">
      <c r="A1" s="295" t="str">
        <f>Worksheet!E1</f>
        <v>CORBETT RESIDENCE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7"/>
    </row>
    <row r="2" spans="1:17" ht="15" thickBot="1" x14ac:dyDescent="0.4">
      <c r="A2" s="99"/>
      <c r="B2" s="94"/>
      <c r="C2" s="105"/>
      <c r="D2" s="94"/>
      <c r="E2" s="105"/>
      <c r="F2" s="94"/>
      <c r="G2" s="105"/>
      <c r="H2" s="94"/>
      <c r="I2" s="105"/>
      <c r="J2" s="94"/>
      <c r="K2" s="105"/>
      <c r="L2" s="94"/>
      <c r="M2" s="105"/>
      <c r="N2" s="99"/>
    </row>
    <row r="3" spans="1:17" ht="30" customHeight="1" thickBot="1" x14ac:dyDescent="0.4">
      <c r="A3" s="98"/>
      <c r="B3" s="305" t="s">
        <v>24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7"/>
      <c r="N3" s="98"/>
    </row>
    <row r="4" spans="1:17" ht="29.5" thickBot="1" x14ac:dyDescent="0.4">
      <c r="A4" s="98"/>
      <c r="B4" s="3" t="s">
        <v>144</v>
      </c>
      <c r="C4" s="4" t="s">
        <v>1</v>
      </c>
      <c r="D4" s="5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193</v>
      </c>
      <c r="K4" s="200" t="s">
        <v>166</v>
      </c>
      <c r="L4" s="44" t="s">
        <v>22</v>
      </c>
      <c r="M4" s="223" t="s">
        <v>165</v>
      </c>
      <c r="N4" s="98"/>
    </row>
    <row r="5" spans="1:17" ht="20.149999999999999" customHeight="1" x14ac:dyDescent="0.35">
      <c r="A5" s="101"/>
      <c r="B5" s="214"/>
      <c r="C5" s="215" t="str">
        <f>Worksheet!E8</f>
        <v>GENERAL REQUIREMENTS SUBGROUP WORK</v>
      </c>
      <c r="D5" s="216"/>
      <c r="E5" s="216"/>
      <c r="F5" s="217"/>
      <c r="G5" s="217"/>
      <c r="H5" s="217"/>
      <c r="I5" s="217"/>
      <c r="J5" s="217"/>
      <c r="K5" s="218"/>
      <c r="L5" s="218"/>
      <c r="M5" s="219"/>
      <c r="N5" s="101"/>
      <c r="O5" s="50"/>
      <c r="P5" s="50"/>
      <c r="Q5" s="50"/>
    </row>
    <row r="6" spans="1:17" ht="25.25" customHeight="1" x14ac:dyDescent="0.35">
      <c r="A6" s="99"/>
      <c r="B6" s="51" t="str">
        <f>Worksheet!D9</f>
        <v>01 00 00</v>
      </c>
      <c r="C6" s="52" t="str">
        <f>Worksheet!E9</f>
        <v>GENERAL REQUIREMENTS</v>
      </c>
      <c r="D6" s="151">
        <f>Worksheet!J$19</f>
        <v>0</v>
      </c>
      <c r="E6" s="151">
        <f>Worksheet!M$19</f>
        <v>9966.9498448960912</v>
      </c>
      <c r="F6" s="152">
        <f>D6*$D$33</f>
        <v>0</v>
      </c>
      <c r="G6" s="152">
        <f>E6*$D$36</f>
        <v>0</v>
      </c>
      <c r="H6" s="152">
        <f>D6+E6+F6+G6</f>
        <v>9966.9498448960912</v>
      </c>
      <c r="I6" s="152">
        <f>H6*$D$38</f>
        <v>996.69498448960917</v>
      </c>
      <c r="J6" s="152">
        <f>H6*$D$39</f>
        <v>996.69498448960917</v>
      </c>
      <c r="K6" s="201">
        <f>SUM(E$41:E$53)+E$34+(E$34*(D$38+D$39))</f>
        <v>19902.426096044794</v>
      </c>
      <c r="L6" s="153">
        <f>H6+I6+J6+K6</f>
        <v>31862.765909920105</v>
      </c>
      <c r="M6" s="224">
        <f>L6/J$44</f>
        <v>12.868645359418458</v>
      </c>
      <c r="N6" s="99"/>
      <c r="O6" s="91">
        <f t="shared" ref="O6:O28" si="0">IF(M6=0,"",(M6/M$29))</f>
        <v>1.7677381614139932E-2</v>
      </c>
      <c r="P6" s="50"/>
      <c r="Q6" s="50"/>
    </row>
    <row r="7" spans="1:17" ht="20.149999999999999" customHeight="1" x14ac:dyDescent="0.35">
      <c r="A7" s="98"/>
      <c r="B7" s="214"/>
      <c r="C7" s="215" t="str">
        <f>Worksheet!E20</f>
        <v>FACILITY CONSTRUCTION SUBGROUP WORK</v>
      </c>
      <c r="D7" s="216"/>
      <c r="E7" s="216"/>
      <c r="F7" s="217"/>
      <c r="G7" s="217"/>
      <c r="H7" s="217"/>
      <c r="I7" s="217"/>
      <c r="J7" s="217"/>
      <c r="K7" s="218"/>
      <c r="L7" s="218"/>
      <c r="M7" s="219"/>
      <c r="N7" s="98"/>
      <c r="O7" s="91" t="str">
        <f t="shared" si="0"/>
        <v/>
      </c>
      <c r="P7" s="50"/>
      <c r="Q7" s="50"/>
    </row>
    <row r="8" spans="1:17" ht="25.25" customHeight="1" x14ac:dyDescent="0.35">
      <c r="A8" s="98"/>
      <c r="B8" s="51" t="str">
        <f>Worksheet!D21</f>
        <v>02 00 00</v>
      </c>
      <c r="C8" s="52" t="str">
        <f>Worksheet!E21</f>
        <v>EXISTING CONDITIONS/ DEMOLITION</v>
      </c>
      <c r="D8" s="151">
        <f>Worksheet!J$27</f>
        <v>0</v>
      </c>
      <c r="E8" s="151">
        <f>Worksheet!$M27</f>
        <v>1583.0719800000002</v>
      </c>
      <c r="F8" s="152">
        <f t="shared" ref="F8:F19" si="1">D8*$D$33</f>
        <v>0</v>
      </c>
      <c r="G8" s="152">
        <f t="shared" ref="G8:G19" si="2">E8*$D$36</f>
        <v>0</v>
      </c>
      <c r="H8" s="152">
        <f t="shared" ref="H8:H12" si="3">D8+E8+F8+G8</f>
        <v>1583.0719800000002</v>
      </c>
      <c r="I8" s="152">
        <f t="shared" ref="I8:I19" si="4">H8*$D$38</f>
        <v>158.30719800000003</v>
      </c>
      <c r="J8" s="152">
        <f t="shared" ref="J8:J19" si="5">H8*$D$39</f>
        <v>158.30719800000003</v>
      </c>
      <c r="K8" s="201">
        <v>0</v>
      </c>
      <c r="L8" s="153">
        <f t="shared" ref="L8:L27" si="6">H8+I8+J8+K8</f>
        <v>1899.6863760000001</v>
      </c>
      <c r="M8" s="225">
        <f t="shared" ref="M8:M19" si="7">L8/J$44</f>
        <v>0.76724005492730218</v>
      </c>
      <c r="N8" s="98"/>
      <c r="O8" s="91">
        <f t="shared" si="0"/>
        <v>1.0539411773188001E-3</v>
      </c>
      <c r="P8" s="50"/>
      <c r="Q8" s="50"/>
    </row>
    <row r="9" spans="1:17" ht="25.25" customHeight="1" x14ac:dyDescent="0.35">
      <c r="A9" s="101"/>
      <c r="B9" s="51" t="str">
        <f>Worksheet!D28</f>
        <v>03 00 00</v>
      </c>
      <c r="C9" s="52" t="str">
        <f>Worksheet!E28</f>
        <v>CONCRETE</v>
      </c>
      <c r="D9" s="151">
        <f>Worksheet!J$201</f>
        <v>36611.713210154616</v>
      </c>
      <c r="E9" s="151">
        <f>Worksheet!$M201</f>
        <v>28916.425979754145</v>
      </c>
      <c r="F9" s="152">
        <f t="shared" si="1"/>
        <v>2909.8989659430886</v>
      </c>
      <c r="G9" s="152">
        <f t="shared" si="2"/>
        <v>0</v>
      </c>
      <c r="H9" s="152">
        <f t="shared" si="3"/>
        <v>68438.038155851857</v>
      </c>
      <c r="I9" s="152">
        <f t="shared" si="4"/>
        <v>6843.8038155851864</v>
      </c>
      <c r="J9" s="152">
        <f t="shared" si="5"/>
        <v>6843.8038155851864</v>
      </c>
      <c r="K9" s="201">
        <v>0</v>
      </c>
      <c r="L9" s="153">
        <f t="shared" si="6"/>
        <v>82125.645787022222</v>
      </c>
      <c r="M9" s="225">
        <f t="shared" si="7"/>
        <v>33.168677619960512</v>
      </c>
      <c r="N9" s="101"/>
      <c r="O9" s="91">
        <f t="shared" si="0"/>
        <v>4.5563099731805917E-2</v>
      </c>
      <c r="P9" s="50"/>
      <c r="Q9" s="50"/>
    </row>
    <row r="10" spans="1:17" ht="25.25" customHeight="1" x14ac:dyDescent="0.35">
      <c r="A10" s="99"/>
      <c r="B10" s="51" t="str">
        <f>Worksheet!D202</f>
        <v>04 00 00</v>
      </c>
      <c r="C10" s="52" t="str">
        <f>Worksheet!E202</f>
        <v>MASONRY</v>
      </c>
      <c r="D10" s="151">
        <f>Worksheet!J$211</f>
        <v>17883.100675000002</v>
      </c>
      <c r="E10" s="151">
        <f>Worksheet!$M211</f>
        <v>11510.0540225</v>
      </c>
      <c r="F10" s="152">
        <f t="shared" si="1"/>
        <v>1421.348841649</v>
      </c>
      <c r="G10" s="152">
        <f t="shared" si="2"/>
        <v>0</v>
      </c>
      <c r="H10" s="152">
        <f t="shared" si="3"/>
        <v>30814.503539149002</v>
      </c>
      <c r="I10" s="152">
        <f t="shared" si="4"/>
        <v>3081.4503539149005</v>
      </c>
      <c r="J10" s="152">
        <f t="shared" si="5"/>
        <v>3081.4503539149005</v>
      </c>
      <c r="K10" s="201">
        <v>0</v>
      </c>
      <c r="L10" s="153">
        <f t="shared" si="6"/>
        <v>36977.404246978804</v>
      </c>
      <c r="M10" s="225">
        <f t="shared" si="7"/>
        <v>14.9343312790706</v>
      </c>
      <c r="N10" s="99"/>
      <c r="O10" s="91">
        <f t="shared" si="0"/>
        <v>2.0514969975367153E-2</v>
      </c>
      <c r="P10" s="50"/>
      <c r="Q10" s="50"/>
    </row>
    <row r="11" spans="1:17" ht="25.25" customHeight="1" x14ac:dyDescent="0.35">
      <c r="A11" s="98"/>
      <c r="B11" s="51" t="str">
        <f>Worksheet!D212</f>
        <v>05 00 00</v>
      </c>
      <c r="C11" s="52" t="str">
        <f>Worksheet!E212</f>
        <v>METALS</v>
      </c>
      <c r="D11" s="151">
        <f>Worksheet!J$230</f>
        <v>5293.2683302400001</v>
      </c>
      <c r="E11" s="151">
        <f>Worksheet!$M230</f>
        <v>2214.0551870447998</v>
      </c>
      <c r="F11" s="152">
        <f t="shared" si="1"/>
        <v>420.70896688747519</v>
      </c>
      <c r="G11" s="152">
        <f t="shared" si="2"/>
        <v>0</v>
      </c>
      <c r="H11" s="152">
        <f t="shared" si="3"/>
        <v>7928.032484172275</v>
      </c>
      <c r="I11" s="152">
        <f t="shared" si="4"/>
        <v>792.80324841722756</v>
      </c>
      <c r="J11" s="152">
        <f t="shared" si="5"/>
        <v>792.80324841722756</v>
      </c>
      <c r="K11" s="201">
        <v>0</v>
      </c>
      <c r="L11" s="153">
        <f t="shared" si="6"/>
        <v>9513.6389810067303</v>
      </c>
      <c r="M11" s="225">
        <f>L11/J$44</f>
        <v>3.8423420763355129</v>
      </c>
      <c r="N11" s="98"/>
      <c r="O11" s="91">
        <f t="shared" si="0"/>
        <v>5.2781427476154422E-3</v>
      </c>
      <c r="P11" s="50"/>
      <c r="Q11" s="50"/>
    </row>
    <row r="12" spans="1:17" ht="25.25" customHeight="1" x14ac:dyDescent="0.35">
      <c r="A12" s="98"/>
      <c r="B12" s="51" t="str">
        <f>Worksheet!D231</f>
        <v>06 00 00</v>
      </c>
      <c r="C12" s="52" t="str">
        <f>Worksheet!E231</f>
        <v>WOOD, PLASTICS, AND COMPOSITES</v>
      </c>
      <c r="D12" s="151">
        <f>Worksheet!J$427</f>
        <v>38152.464325000001</v>
      </c>
      <c r="E12" s="151">
        <f>Worksheet!$M427</f>
        <v>11717.527113499998</v>
      </c>
      <c r="F12" s="152">
        <f t="shared" si="1"/>
        <v>3032.3578645509997</v>
      </c>
      <c r="G12" s="152">
        <f t="shared" si="2"/>
        <v>0</v>
      </c>
      <c r="H12" s="152">
        <f t="shared" si="3"/>
        <v>52902.349303051</v>
      </c>
      <c r="I12" s="152">
        <f t="shared" si="4"/>
        <v>5290.2349303051005</v>
      </c>
      <c r="J12" s="152">
        <f t="shared" si="5"/>
        <v>5290.2349303051005</v>
      </c>
      <c r="K12" s="201">
        <v>0</v>
      </c>
      <c r="L12" s="153">
        <f t="shared" si="6"/>
        <v>63482.819163661203</v>
      </c>
      <c r="M12" s="225">
        <f t="shared" si="7"/>
        <v>25.639264605678999</v>
      </c>
      <c r="N12" s="98"/>
      <c r="O12" s="91">
        <f t="shared" si="0"/>
        <v>3.5220106862979141E-2</v>
      </c>
      <c r="P12" s="50"/>
      <c r="Q12" s="50"/>
    </row>
    <row r="13" spans="1:17" ht="25.25" customHeight="1" x14ac:dyDescent="0.35">
      <c r="A13" s="101"/>
      <c r="B13" s="51" t="str">
        <f>Worksheet!D428</f>
        <v>07 00 00</v>
      </c>
      <c r="C13" s="52" t="str">
        <f>Worksheet!E428</f>
        <v>THERMAL AND MOISTURE PROTECTION</v>
      </c>
      <c r="D13" s="151">
        <f>Worksheet!J$462</f>
        <v>18102.0340325</v>
      </c>
      <c r="E13" s="151">
        <f>Worksheet!$M462</f>
        <v>9111.7792079599967</v>
      </c>
      <c r="F13" s="152">
        <f t="shared" si="1"/>
        <v>1438.7496649031</v>
      </c>
      <c r="G13" s="152">
        <f t="shared" si="2"/>
        <v>0</v>
      </c>
      <c r="H13" s="152">
        <f t="shared" ref="H13:H17" si="8">D13+E13+F13+G13</f>
        <v>28652.562905363098</v>
      </c>
      <c r="I13" s="152">
        <f t="shared" si="4"/>
        <v>2865.2562905363102</v>
      </c>
      <c r="J13" s="152">
        <f t="shared" si="5"/>
        <v>2865.2562905363102</v>
      </c>
      <c r="K13" s="201">
        <v>0</v>
      </c>
      <c r="L13" s="153">
        <f t="shared" si="6"/>
        <v>34383.075486435715</v>
      </c>
      <c r="M13" s="225">
        <f t="shared" si="7"/>
        <v>13.886540988059659</v>
      </c>
      <c r="N13" s="101"/>
      <c r="O13" s="91">
        <f t="shared" si="0"/>
        <v>1.9075642967086918E-2</v>
      </c>
      <c r="P13" s="50"/>
      <c r="Q13" s="50"/>
    </row>
    <row r="14" spans="1:17" ht="25.25" customHeight="1" x14ac:dyDescent="0.35">
      <c r="A14" s="99"/>
      <c r="B14" s="51" t="str">
        <f>Worksheet!D463</f>
        <v>08 00 00</v>
      </c>
      <c r="C14" s="52" t="str">
        <f>Worksheet!E463</f>
        <v>OPENINGS</v>
      </c>
      <c r="D14" s="151">
        <f>Worksheet!J$490</f>
        <v>38325.608666666667</v>
      </c>
      <c r="E14" s="151">
        <f>Worksheet!$M490</f>
        <v>16190.070300000003</v>
      </c>
      <c r="F14" s="152">
        <f t="shared" si="1"/>
        <v>3046.1193768266667</v>
      </c>
      <c r="G14" s="152">
        <f t="shared" si="2"/>
        <v>0</v>
      </c>
      <c r="H14" s="152">
        <f t="shared" si="8"/>
        <v>57561.798343493341</v>
      </c>
      <c r="I14" s="152">
        <f t="shared" si="4"/>
        <v>5756.1798343493347</v>
      </c>
      <c r="J14" s="152">
        <f t="shared" si="5"/>
        <v>5756.1798343493347</v>
      </c>
      <c r="K14" s="201">
        <v>0</v>
      </c>
      <c r="L14" s="153">
        <f t="shared" si="6"/>
        <v>69074.158012192012</v>
      </c>
      <c r="M14" s="225">
        <f t="shared" si="7"/>
        <v>27.897479003308568</v>
      </c>
      <c r="N14" s="99"/>
      <c r="O14" s="91">
        <f t="shared" si="0"/>
        <v>3.832216745743218E-2</v>
      </c>
      <c r="P14" s="50"/>
      <c r="Q14" s="50"/>
    </row>
    <row r="15" spans="1:17" ht="25.25" customHeight="1" x14ac:dyDescent="0.35">
      <c r="A15" s="98"/>
      <c r="B15" s="51" t="str">
        <f>Worksheet!D491</f>
        <v>09 00 00</v>
      </c>
      <c r="C15" s="52" t="str">
        <f>Worksheet!E491</f>
        <v>FINISHES</v>
      </c>
      <c r="D15" s="151">
        <f>Worksheet!J$713</f>
        <v>24484.034613399996</v>
      </c>
      <c r="E15" s="151">
        <f>Worksheet!$M713</f>
        <v>27647.747774920004</v>
      </c>
      <c r="F15" s="152">
        <f t="shared" si="1"/>
        <v>1945.9910710730314</v>
      </c>
      <c r="G15" s="152">
        <f t="shared" si="2"/>
        <v>0</v>
      </c>
      <c r="H15" s="152">
        <f t="shared" si="8"/>
        <v>54077.773459393036</v>
      </c>
      <c r="I15" s="152">
        <f t="shared" si="4"/>
        <v>5407.7773459393038</v>
      </c>
      <c r="J15" s="152">
        <f t="shared" si="5"/>
        <v>5407.7773459393038</v>
      </c>
      <c r="K15" s="201">
        <v>0</v>
      </c>
      <c r="L15" s="153">
        <f t="shared" si="6"/>
        <v>64893.328151271649</v>
      </c>
      <c r="M15" s="225">
        <f t="shared" si="7"/>
        <v>26.208937056248647</v>
      </c>
      <c r="N15" s="98"/>
      <c r="O15" s="91">
        <f t="shared" si="0"/>
        <v>3.600265366744225E-2</v>
      </c>
      <c r="P15" s="50"/>
      <c r="Q15" s="50"/>
    </row>
    <row r="16" spans="1:17" ht="25.25" customHeight="1" x14ac:dyDescent="0.35">
      <c r="A16" s="98"/>
      <c r="B16" s="51" t="str">
        <f>Worksheet!D714</f>
        <v>10 00 00</v>
      </c>
      <c r="C16" s="52" t="str">
        <f>Worksheet!E714</f>
        <v>SPECIALTIES</v>
      </c>
      <c r="D16" s="151">
        <f>Worksheet!J$718</f>
        <v>675</v>
      </c>
      <c r="E16" s="151">
        <f>Worksheet!$M718</f>
        <v>186.3</v>
      </c>
      <c r="F16" s="152">
        <f t="shared" si="1"/>
        <v>53.648999999999994</v>
      </c>
      <c r="G16" s="152">
        <f t="shared" si="2"/>
        <v>0</v>
      </c>
      <c r="H16" s="152">
        <f t="shared" si="8"/>
        <v>914.94899999999996</v>
      </c>
      <c r="I16" s="152">
        <f t="shared" si="4"/>
        <v>91.494900000000001</v>
      </c>
      <c r="J16" s="152">
        <f t="shared" si="5"/>
        <v>91.494900000000001</v>
      </c>
      <c r="K16" s="201">
        <v>0</v>
      </c>
      <c r="L16" s="153">
        <f t="shared" si="6"/>
        <v>1097.9387999999999</v>
      </c>
      <c r="M16" s="225">
        <f t="shared" si="7"/>
        <v>0.44343247172859446</v>
      </c>
      <c r="N16" s="98"/>
      <c r="O16" s="91">
        <f t="shared" si="0"/>
        <v>6.0913365812125528E-4</v>
      </c>
      <c r="P16" s="50"/>
      <c r="Q16" s="50"/>
    </row>
    <row r="17" spans="1:17" ht="25.25" customHeight="1" x14ac:dyDescent="0.35">
      <c r="A17" s="101"/>
      <c r="B17" s="51" t="str">
        <f>Worksheet!D719</f>
        <v>11 00 00</v>
      </c>
      <c r="C17" s="52" t="str">
        <f>Worksheet!E719</f>
        <v>EQUIPMENT</v>
      </c>
      <c r="D17" s="151">
        <f>Worksheet!J$723</f>
        <v>1452</v>
      </c>
      <c r="E17" s="151">
        <f>Worksheet!$M723</f>
        <v>228.42000000000002</v>
      </c>
      <c r="F17" s="152">
        <f t="shared" si="1"/>
        <v>115.40495999999999</v>
      </c>
      <c r="G17" s="152">
        <f t="shared" si="2"/>
        <v>0</v>
      </c>
      <c r="H17" s="152">
        <f t="shared" si="8"/>
        <v>1795.8249600000001</v>
      </c>
      <c r="I17" s="152">
        <f t="shared" si="4"/>
        <v>179.58249600000002</v>
      </c>
      <c r="J17" s="152">
        <f t="shared" si="5"/>
        <v>179.58249600000002</v>
      </c>
      <c r="K17" s="201">
        <v>0</v>
      </c>
      <c r="L17" s="153">
        <f t="shared" si="6"/>
        <v>2154.9899520000004</v>
      </c>
      <c r="M17" s="225">
        <f t="shared" si="7"/>
        <v>0.87035135379644601</v>
      </c>
      <c r="N17" s="101"/>
      <c r="O17" s="91">
        <f t="shared" si="0"/>
        <v>1.1955829529626866E-3</v>
      </c>
      <c r="P17" s="50"/>
      <c r="Q17" s="50"/>
    </row>
    <row r="18" spans="1:17" ht="25.25" customHeight="1" x14ac:dyDescent="0.35">
      <c r="A18" s="99"/>
      <c r="B18" s="51" t="str">
        <f>Worksheet!D724</f>
        <v>12 00 00</v>
      </c>
      <c r="C18" s="52" t="str">
        <f>Worksheet!E724</f>
        <v>FURNISHINGS</v>
      </c>
      <c r="D18" s="151">
        <f>Worksheet!J$739</f>
        <v>6157.9913999999999</v>
      </c>
      <c r="E18" s="151">
        <f>Worksheet!$M739</f>
        <v>1709.659116</v>
      </c>
      <c r="F18" s="152">
        <f t="shared" si="1"/>
        <v>489.43715647199997</v>
      </c>
      <c r="G18" s="152">
        <f t="shared" si="2"/>
        <v>0</v>
      </c>
      <c r="H18" s="152">
        <f t="shared" ref="H18:H27" si="9">D18+E18+F18+G18</f>
        <v>8357.0876724720001</v>
      </c>
      <c r="I18" s="152">
        <f t="shared" si="4"/>
        <v>835.70876724720006</v>
      </c>
      <c r="J18" s="152">
        <f t="shared" si="5"/>
        <v>835.70876724720006</v>
      </c>
      <c r="K18" s="201">
        <v>0</v>
      </c>
      <c r="L18" s="153">
        <f t="shared" si="6"/>
        <v>10028.505206966402</v>
      </c>
      <c r="M18" s="225">
        <f t="shared" si="7"/>
        <v>4.0502848170300494</v>
      </c>
      <c r="N18" s="99"/>
      <c r="O18" s="91">
        <f t="shared" si="0"/>
        <v>5.5637892223204984E-3</v>
      </c>
      <c r="P18" s="50"/>
      <c r="Q18" s="50"/>
    </row>
    <row r="19" spans="1:17" ht="25.25" customHeight="1" x14ac:dyDescent="0.35">
      <c r="A19" s="98"/>
      <c r="B19" s="51" t="e">
        <f>Worksheet!#REF!</f>
        <v>#REF!</v>
      </c>
      <c r="C19" s="52" t="str">
        <f>Worksheet!E740</f>
        <v>SPECIAL CONSTRUCTION</v>
      </c>
      <c r="D19" s="151">
        <f>Worksheet!J744</f>
        <v>2200</v>
      </c>
      <c r="E19" s="151">
        <f>Worksheet!M744</f>
        <v>270</v>
      </c>
      <c r="F19" s="152">
        <f t="shared" si="1"/>
        <v>174.85599999999999</v>
      </c>
      <c r="G19" s="152">
        <f t="shared" si="2"/>
        <v>0</v>
      </c>
      <c r="H19" s="152">
        <f t="shared" si="9"/>
        <v>2644.8559999999998</v>
      </c>
      <c r="I19" s="152">
        <f t="shared" si="4"/>
        <v>264.48559999999998</v>
      </c>
      <c r="J19" s="152">
        <f t="shared" si="5"/>
        <v>264.48559999999998</v>
      </c>
      <c r="K19" s="201">
        <v>0</v>
      </c>
      <c r="L19" s="153">
        <f t="shared" si="6"/>
        <v>3173.8271999999997</v>
      </c>
      <c r="M19" s="225">
        <f t="shared" si="7"/>
        <v>1.2818365105008076</v>
      </c>
      <c r="N19" s="98"/>
      <c r="O19" s="91">
        <f t="shared" si="0"/>
        <v>1.7608312709057562E-3</v>
      </c>
      <c r="P19" s="50"/>
      <c r="Q19" s="50"/>
    </row>
    <row r="20" spans="1:17" ht="20.149999999999999" customHeight="1" x14ac:dyDescent="0.35">
      <c r="A20" s="101"/>
      <c r="B20" s="214"/>
      <c r="C20" s="215" t="str">
        <f>Worksheet!E745</f>
        <v>FACILITY SERVICES SUBGROUP WORK</v>
      </c>
      <c r="D20" s="216"/>
      <c r="E20" s="216"/>
      <c r="F20" s="217"/>
      <c r="G20" s="217"/>
      <c r="H20" s="217"/>
      <c r="I20" s="217"/>
      <c r="J20" s="217"/>
      <c r="K20" s="218"/>
      <c r="L20" s="218"/>
      <c r="M20" s="219"/>
      <c r="N20" s="101"/>
      <c r="O20" s="91" t="str">
        <f t="shared" si="0"/>
        <v/>
      </c>
      <c r="P20" s="50"/>
      <c r="Q20" s="50"/>
    </row>
    <row r="21" spans="1:17" ht="25.25" customHeight="1" x14ac:dyDescent="0.35">
      <c r="A21" s="98"/>
      <c r="B21" s="51" t="str">
        <f>Worksheet!D746</f>
        <v>22 00 00</v>
      </c>
      <c r="C21" s="52" t="str">
        <f>Worksheet!E746</f>
        <v>PLUMBING</v>
      </c>
      <c r="D21" s="151">
        <f>Worksheet!J$755</f>
        <v>5696</v>
      </c>
      <c r="E21" s="151">
        <f>Worksheet!M$755</f>
        <v>2496</v>
      </c>
      <c r="F21" s="152">
        <f>D21*$D$33</f>
        <v>452.71807999999999</v>
      </c>
      <c r="G21" s="152">
        <f>E21*$D$36</f>
        <v>0</v>
      </c>
      <c r="H21" s="152">
        <f t="shared" ref="H21:H23" si="10">D21+E21+F21+G21</f>
        <v>8644.7180800000006</v>
      </c>
      <c r="I21" s="152">
        <f>H21*$D$38</f>
        <v>864.47180800000012</v>
      </c>
      <c r="J21" s="152">
        <f>H21*$D$39</f>
        <v>864.47180800000012</v>
      </c>
      <c r="K21" s="201">
        <v>0</v>
      </c>
      <c r="L21" s="153">
        <f t="shared" si="6"/>
        <v>10373.661696000001</v>
      </c>
      <c r="M21" s="225">
        <f>L21/J$44</f>
        <v>4.1896856607431348</v>
      </c>
      <c r="N21" s="98"/>
      <c r="O21" s="91">
        <f t="shared" si="0"/>
        <v>5.7552811659418784E-3</v>
      </c>
      <c r="P21" s="50"/>
      <c r="Q21" s="50"/>
    </row>
    <row r="22" spans="1:17" ht="25.25" customHeight="1" x14ac:dyDescent="0.35">
      <c r="A22" s="98"/>
      <c r="B22" s="51" t="str">
        <f>Worksheet!D756</f>
        <v>23 00 00</v>
      </c>
      <c r="C22" s="52" t="str">
        <f>Worksheet!E756</f>
        <v>HEATING, VENTILATING &amp; AIR- CONDITIOINING</v>
      </c>
      <c r="D22" s="151">
        <f>Worksheet!J$763</f>
        <v>6057.2820000000002</v>
      </c>
      <c r="E22" s="151">
        <f>Worksheet!M$763</f>
        <v>2357.5859999999998</v>
      </c>
      <c r="F22" s="152">
        <f>D22*$D$33</f>
        <v>481.43277336</v>
      </c>
      <c r="G22" s="152">
        <f>E22*$D$36</f>
        <v>0</v>
      </c>
      <c r="H22" s="152">
        <f t="shared" si="10"/>
        <v>8896.3007733600007</v>
      </c>
      <c r="I22" s="152">
        <f>H22*$D$38</f>
        <v>889.63007733600011</v>
      </c>
      <c r="J22" s="152">
        <f>H22*$D$39</f>
        <v>889.63007733600011</v>
      </c>
      <c r="K22" s="201">
        <v>0</v>
      </c>
      <c r="L22" s="153">
        <f t="shared" si="6"/>
        <v>10675.560928032</v>
      </c>
      <c r="M22" s="225">
        <f>L22/J$44</f>
        <v>4.3116158836962848</v>
      </c>
      <c r="N22" s="98"/>
      <c r="O22" s="91">
        <f t="shared" si="0"/>
        <v>5.9227740932267592E-3</v>
      </c>
      <c r="P22" s="50"/>
      <c r="Q22" s="50"/>
    </row>
    <row r="23" spans="1:17" ht="25.25" customHeight="1" x14ac:dyDescent="0.35">
      <c r="A23" s="101"/>
      <c r="B23" s="51" t="str">
        <f>Worksheet!D764</f>
        <v>26 00 00</v>
      </c>
      <c r="C23" s="52" t="str">
        <f>Worksheet!E764</f>
        <v>ELECTRICAL</v>
      </c>
      <c r="D23" s="151">
        <f>Worksheet!J$792</f>
        <v>9173.768</v>
      </c>
      <c r="E23" s="151">
        <f>Worksheet!M$792</f>
        <v>3855.6344639999988</v>
      </c>
      <c r="F23" s="152">
        <f>D23*$D$33</f>
        <v>729.13108063999994</v>
      </c>
      <c r="G23" s="152">
        <f>E23*$D$36</f>
        <v>0</v>
      </c>
      <c r="H23" s="152">
        <f t="shared" si="10"/>
        <v>13758.533544639999</v>
      </c>
      <c r="I23" s="152">
        <f>H23*$D$38</f>
        <v>1375.8533544639999</v>
      </c>
      <c r="J23" s="152">
        <f>H23*$D$39</f>
        <v>1375.8533544639999</v>
      </c>
      <c r="K23" s="201">
        <v>0</v>
      </c>
      <c r="L23" s="153">
        <f t="shared" si="6"/>
        <v>16510.240253567998</v>
      </c>
      <c r="M23" s="225">
        <f>L23/J$44</f>
        <v>6.668109957014539</v>
      </c>
      <c r="N23" s="101"/>
      <c r="O23" s="91">
        <f t="shared" si="0"/>
        <v>9.1598393663806007E-3</v>
      </c>
      <c r="P23" s="50"/>
      <c r="Q23" s="50"/>
    </row>
    <row r="24" spans="1:17" ht="20.149999999999999" customHeight="1" x14ac:dyDescent="0.35">
      <c r="A24" s="99"/>
      <c r="B24" s="214"/>
      <c r="C24" s="215" t="str">
        <f>Worksheet!E793</f>
        <v>SITE &amp; INFRASTRUCTURE SUBGROUP WORK</v>
      </c>
      <c r="D24" s="216"/>
      <c r="E24" s="216"/>
      <c r="F24" s="217"/>
      <c r="G24" s="217"/>
      <c r="H24" s="217"/>
      <c r="I24" s="217"/>
      <c r="J24" s="217"/>
      <c r="K24" s="218"/>
      <c r="L24" s="218"/>
      <c r="M24" s="219"/>
      <c r="N24" s="99"/>
      <c r="O24" s="91" t="str">
        <f t="shared" si="0"/>
        <v/>
      </c>
      <c r="P24" s="50"/>
      <c r="Q24" s="50"/>
    </row>
    <row r="25" spans="1:17" ht="25.25" customHeight="1" x14ac:dyDescent="0.35">
      <c r="A25" s="98"/>
      <c r="B25" s="51" t="str">
        <f>Worksheet!D794</f>
        <v>31 00 00</v>
      </c>
      <c r="C25" s="52" t="str">
        <f>Worksheet!E794</f>
        <v>EARTHWORK</v>
      </c>
      <c r="D25" s="151">
        <f>Worksheet!J$803</f>
        <v>2968.7835</v>
      </c>
      <c r="E25" s="151">
        <f>Worksheet!$M803</f>
        <v>5216.4459647999993</v>
      </c>
      <c r="F25" s="152">
        <f>D25*$D$33</f>
        <v>235.95891257999997</v>
      </c>
      <c r="G25" s="152">
        <f>E25*$D$36</f>
        <v>0</v>
      </c>
      <c r="H25" s="152">
        <f t="shared" si="9"/>
        <v>8421.1883773799982</v>
      </c>
      <c r="I25" s="152">
        <f>H25*$D$38</f>
        <v>842.11883773799991</v>
      </c>
      <c r="J25" s="152">
        <f>H25*$D$39</f>
        <v>842.11883773799991</v>
      </c>
      <c r="K25" s="201">
        <v>0</v>
      </c>
      <c r="L25" s="153">
        <f t="shared" si="6"/>
        <v>10105.426052855999</v>
      </c>
      <c r="M25" s="225">
        <f>L25/J$45</f>
        <v>101.05426052855999</v>
      </c>
      <c r="N25" s="98"/>
      <c r="O25" s="91">
        <f t="shared" si="0"/>
        <v>0.13881606627620985</v>
      </c>
      <c r="P25" s="50"/>
      <c r="Q25" s="50"/>
    </row>
    <row r="26" spans="1:17" ht="25.25" customHeight="1" x14ac:dyDescent="0.35">
      <c r="A26" s="98"/>
      <c r="B26" s="51" t="str">
        <f>Worksheet!D804</f>
        <v>32 00 00</v>
      </c>
      <c r="C26" s="52" t="str">
        <f>Worksheet!E804</f>
        <v>EXTERIOR IMPROVEMENTS</v>
      </c>
      <c r="D26" s="151">
        <f>Worksheet!J$844</f>
        <v>21788.162637294699</v>
      </c>
      <c r="E26" s="151">
        <f>Worksheet!$M844</f>
        <v>12018.182621147656</v>
      </c>
      <c r="F26" s="152">
        <f>D26*$D$33</f>
        <v>1731.7231664121825</v>
      </c>
      <c r="G26" s="152">
        <f>E26*$D$36</f>
        <v>0</v>
      </c>
      <c r="H26" s="152">
        <f t="shared" ref="H26" si="11">D26+E26+F26+G26</f>
        <v>35538.068424854537</v>
      </c>
      <c r="I26" s="152">
        <f>H26*$D$38</f>
        <v>3553.8068424854537</v>
      </c>
      <c r="J26" s="152">
        <f>H26*$D$39</f>
        <v>3553.8068424854537</v>
      </c>
      <c r="K26" s="201">
        <v>0</v>
      </c>
      <c r="L26" s="153">
        <f t="shared" si="6"/>
        <v>42645.682109825444</v>
      </c>
      <c r="M26" s="225">
        <f>L26/J$45</f>
        <v>426.45682109825447</v>
      </c>
      <c r="N26" s="98"/>
      <c r="O26" s="91">
        <f t="shared" si="0"/>
        <v>0.58581457161606965</v>
      </c>
      <c r="P26" s="50"/>
      <c r="Q26" s="50"/>
    </row>
    <row r="27" spans="1:17" ht="25.25" customHeight="1" x14ac:dyDescent="0.35">
      <c r="A27" s="101"/>
      <c r="B27" s="51" t="str">
        <f>Worksheet!D845</f>
        <v>33 00 00</v>
      </c>
      <c r="C27" s="52" t="str">
        <f>Worksheet!E845</f>
        <v>UTILITIES</v>
      </c>
      <c r="D27" s="151">
        <f>Worksheet!J$849</f>
        <v>1200</v>
      </c>
      <c r="E27" s="151">
        <f>Worksheet!$M849</f>
        <v>324</v>
      </c>
      <c r="F27" s="152">
        <f>D27*$D$33</f>
        <v>95.375999999999991</v>
      </c>
      <c r="G27" s="152">
        <f>E27*$D$36</f>
        <v>0</v>
      </c>
      <c r="H27" s="152">
        <f t="shared" si="9"/>
        <v>1619.376</v>
      </c>
      <c r="I27" s="152">
        <f>H27*$D$38</f>
        <v>161.9376</v>
      </c>
      <c r="J27" s="152">
        <f>H27*$D$39</f>
        <v>161.9376</v>
      </c>
      <c r="K27" s="201">
        <v>0</v>
      </c>
      <c r="L27" s="153">
        <f t="shared" si="6"/>
        <v>1943.2511999999999</v>
      </c>
      <c r="M27" s="225">
        <f>L27/J$45</f>
        <v>19.432511999999999</v>
      </c>
      <c r="N27" s="101"/>
      <c r="O27" s="91">
        <f t="shared" si="0"/>
        <v>2.6694024176673502E-2</v>
      </c>
      <c r="P27" s="50"/>
      <c r="Q27" s="50"/>
    </row>
    <row r="28" spans="1:17" ht="20.149999999999999" customHeight="1" x14ac:dyDescent="0.35">
      <c r="A28" s="99"/>
      <c r="B28" s="53"/>
      <c r="C28" s="52"/>
      <c r="D28" s="151"/>
      <c r="E28" s="152"/>
      <c r="F28" s="152"/>
      <c r="G28" s="152"/>
      <c r="H28" s="152"/>
      <c r="I28" s="152"/>
      <c r="J28" s="152"/>
      <c r="K28" s="152"/>
      <c r="L28" s="153"/>
      <c r="M28" s="154"/>
      <c r="N28" s="99"/>
      <c r="O28" s="91" t="str">
        <f t="shared" si="0"/>
        <v/>
      </c>
      <c r="P28" s="50"/>
      <c r="Q28" s="50"/>
    </row>
    <row r="29" spans="1:17" ht="25.25" customHeight="1" thickBot="1" x14ac:dyDescent="0.4">
      <c r="A29" s="98"/>
      <c r="B29" s="211"/>
      <c r="C29" s="212" t="s">
        <v>23</v>
      </c>
      <c r="D29" s="213">
        <f>SUM(D6:D28)</f>
        <v>236221.21139025601</v>
      </c>
      <c r="E29" s="213">
        <f t="shared" ref="E29:J29" si="12">SUM(E6:E28)</f>
        <v>147519.90957652268</v>
      </c>
      <c r="F29" s="213">
        <f t="shared" si="12"/>
        <v>18774.861881297544</v>
      </c>
      <c r="G29" s="213">
        <f t="shared" si="12"/>
        <v>0</v>
      </c>
      <c r="H29" s="213">
        <f t="shared" si="12"/>
        <v>402515.98284807632</v>
      </c>
      <c r="I29" s="213">
        <f t="shared" si="12"/>
        <v>40251.598284807631</v>
      </c>
      <c r="J29" s="213">
        <f t="shared" si="12"/>
        <v>40251.598284807631</v>
      </c>
      <c r="K29" s="209">
        <f>SUM(K6:K28)</f>
        <v>19902.426096044794</v>
      </c>
      <c r="L29" s="220">
        <f>SUM(L6:L28)</f>
        <v>502921.60551373626</v>
      </c>
      <c r="M29" s="226">
        <f>SUM(M6:M28)</f>
        <v>727.97236832433248</v>
      </c>
      <c r="N29" s="98"/>
      <c r="O29" s="91">
        <f>IF(M29=0,"",(SUM(O6:O28)))</f>
        <v>1.0000000000000002</v>
      </c>
      <c r="P29" s="50"/>
      <c r="Q29" s="50"/>
    </row>
    <row r="30" spans="1:17" ht="25.25" customHeight="1" thickBot="1" x14ac:dyDescent="0.4">
      <c r="A30" s="105"/>
      <c r="B30" s="48"/>
      <c r="C30" s="208"/>
      <c r="E30" s="208"/>
      <c r="F30" s="48"/>
      <c r="G30" s="208"/>
      <c r="H30" s="48"/>
      <c r="I30" s="208"/>
      <c r="J30" s="48"/>
      <c r="K30" s="208"/>
      <c r="L30" s="48"/>
      <c r="M30" s="208"/>
      <c r="N30" s="101"/>
    </row>
    <row r="31" spans="1:17" ht="30" customHeight="1" thickBot="1" x14ac:dyDescent="0.4">
      <c r="A31" s="99"/>
      <c r="B31" s="301" t="s">
        <v>15</v>
      </c>
      <c r="C31" s="302"/>
      <c r="D31" s="302"/>
      <c r="E31" s="303"/>
      <c r="F31" s="98"/>
      <c r="G31" s="301" t="s">
        <v>41</v>
      </c>
      <c r="H31" s="302"/>
      <c r="I31" s="302"/>
      <c r="J31" s="302"/>
      <c r="K31" s="302"/>
      <c r="L31" s="303"/>
      <c r="M31" s="99"/>
      <c r="N31" s="99"/>
    </row>
    <row r="32" spans="1:17" ht="25.25" customHeight="1" thickBot="1" x14ac:dyDescent="0.4">
      <c r="A32" s="98"/>
      <c r="B32" s="56">
        <v>1</v>
      </c>
      <c r="C32" s="37" t="s">
        <v>25</v>
      </c>
      <c r="D32" s="7"/>
      <c r="E32" s="155">
        <f>D29</f>
        <v>236221.21139025601</v>
      </c>
      <c r="F32" s="102"/>
      <c r="G32" s="51">
        <v>1</v>
      </c>
      <c r="H32" s="304" t="s">
        <v>39</v>
      </c>
      <c r="I32" s="304"/>
      <c r="J32" s="304"/>
      <c r="K32" s="57"/>
      <c r="L32" s="14">
        <f>Worksheet!P$851</f>
        <v>2802.3772818988932</v>
      </c>
      <c r="M32" s="98"/>
      <c r="N32" s="98"/>
    </row>
    <row r="33" spans="1:19" ht="25.25" customHeight="1" thickBot="1" x14ac:dyDescent="0.4">
      <c r="A33" s="98"/>
      <c r="B33" s="53"/>
      <c r="C33" s="58" t="s">
        <v>27</v>
      </c>
      <c r="D33" s="202">
        <v>7.9479999999999995E-2</v>
      </c>
      <c r="E33" s="156">
        <f>E32*D33</f>
        <v>18774.861881297547</v>
      </c>
      <c r="F33" s="97"/>
      <c r="G33" s="53">
        <v>2</v>
      </c>
      <c r="H33" s="309" t="s">
        <v>40</v>
      </c>
      <c r="I33" s="309"/>
      <c r="J33" s="309"/>
      <c r="K33" s="59"/>
      <c r="L33" s="20">
        <f>L32/8</f>
        <v>350.29716023736165</v>
      </c>
      <c r="M33" s="98"/>
      <c r="N33" s="98"/>
    </row>
    <row r="34" spans="1:19" ht="25.25" customHeight="1" x14ac:dyDescent="0.35">
      <c r="A34" s="101"/>
      <c r="B34" s="53"/>
      <c r="C34" s="60" t="s">
        <v>32</v>
      </c>
      <c r="D34" s="10"/>
      <c r="E34" s="203"/>
      <c r="F34" s="96"/>
      <c r="G34" s="53">
        <v>3</v>
      </c>
      <c r="H34" s="309" t="s">
        <v>35</v>
      </c>
      <c r="I34" s="309"/>
      <c r="J34" s="309"/>
      <c r="K34" s="59"/>
      <c r="L34" s="13">
        <f>J35+J36+J37</f>
        <v>5</v>
      </c>
      <c r="M34" s="101"/>
      <c r="N34" s="101"/>
    </row>
    <row r="35" spans="1:19" ht="25.25" customHeight="1" thickBot="1" x14ac:dyDescent="0.4">
      <c r="A35" s="99"/>
      <c r="B35" s="53">
        <v>2</v>
      </c>
      <c r="C35" s="38" t="s">
        <v>26</v>
      </c>
      <c r="D35" s="8"/>
      <c r="E35" s="157">
        <f>E29</f>
        <v>147519.90957652268</v>
      </c>
      <c r="F35" s="102"/>
      <c r="G35" s="53">
        <v>4</v>
      </c>
      <c r="H35" s="309" t="s">
        <v>48</v>
      </c>
      <c r="I35" s="309"/>
      <c r="J35" s="61">
        <v>3</v>
      </c>
      <c r="K35" s="62"/>
      <c r="L35" s="63"/>
      <c r="M35" s="99"/>
      <c r="N35" s="99"/>
      <c r="O35" s="50"/>
      <c r="P35" s="50"/>
      <c r="Q35" s="50"/>
    </row>
    <row r="36" spans="1:19" ht="25.25" customHeight="1" thickBot="1" x14ac:dyDescent="0.4">
      <c r="A36" s="98"/>
      <c r="B36" s="53"/>
      <c r="C36" s="58" t="s">
        <v>19</v>
      </c>
      <c r="D36" s="202"/>
      <c r="E36" s="156">
        <f>E35*D36</f>
        <v>0</v>
      </c>
      <c r="F36" s="102"/>
      <c r="G36" s="53">
        <v>5</v>
      </c>
      <c r="H36" s="309" t="s">
        <v>37</v>
      </c>
      <c r="I36" s="309"/>
      <c r="J36" s="61">
        <v>1</v>
      </c>
      <c r="K36" s="62"/>
      <c r="L36" s="63"/>
      <c r="M36" s="98"/>
      <c r="N36" s="98"/>
      <c r="O36" s="50"/>
      <c r="P36" s="50"/>
      <c r="Q36" s="50"/>
    </row>
    <row r="37" spans="1:19" ht="25.25" customHeight="1" thickBot="1" x14ac:dyDescent="0.4">
      <c r="A37" s="98"/>
      <c r="B37" s="53">
        <v>3</v>
      </c>
      <c r="C37" s="38" t="s">
        <v>20</v>
      </c>
      <c r="D37" s="8"/>
      <c r="E37" s="157">
        <f>SUM(E32:E36)</f>
        <v>402515.98284807627</v>
      </c>
      <c r="F37" s="97"/>
      <c r="G37" s="53">
        <v>6</v>
      </c>
      <c r="H37" s="309" t="s">
        <v>38</v>
      </c>
      <c r="I37" s="309"/>
      <c r="J37" s="61">
        <v>1</v>
      </c>
      <c r="K37" s="62"/>
      <c r="L37" s="63"/>
      <c r="M37" s="98"/>
      <c r="N37" s="98"/>
      <c r="O37" s="50"/>
      <c r="P37" s="50"/>
      <c r="Q37" s="50"/>
    </row>
    <row r="38" spans="1:19" ht="25.25" customHeight="1" thickBot="1" x14ac:dyDescent="0.4">
      <c r="A38" s="101"/>
      <c r="B38" s="53"/>
      <c r="C38" s="58" t="s">
        <v>28</v>
      </c>
      <c r="D38" s="16">
        <v>0.1</v>
      </c>
      <c r="E38" s="156">
        <f>E$37*D$38</f>
        <v>40251.598284807631</v>
      </c>
      <c r="F38" s="96"/>
      <c r="G38" s="53">
        <v>7</v>
      </c>
      <c r="H38" s="309" t="s">
        <v>14</v>
      </c>
      <c r="I38" s="309"/>
      <c r="J38" s="309"/>
      <c r="K38" s="59"/>
      <c r="L38" s="63">
        <f>(L35*J35/L34)+(L36*J36/L34)+(L37*J37/L34)</f>
        <v>0</v>
      </c>
      <c r="M38" s="101"/>
      <c r="N38" s="101"/>
      <c r="O38" s="50"/>
      <c r="P38" s="50"/>
      <c r="Q38" s="50"/>
    </row>
    <row r="39" spans="1:19" ht="25.25" customHeight="1" thickBot="1" x14ac:dyDescent="0.4">
      <c r="A39" s="99"/>
      <c r="B39" s="53"/>
      <c r="C39" s="58" t="s">
        <v>33</v>
      </c>
      <c r="D39" s="16">
        <v>0.1</v>
      </c>
      <c r="E39" s="156">
        <f>E$37*D$39</f>
        <v>40251.598284807631</v>
      </c>
      <c r="F39" s="102"/>
      <c r="G39" s="54">
        <v>8</v>
      </c>
      <c r="H39" s="308" t="s">
        <v>199</v>
      </c>
      <c r="I39" s="308"/>
      <c r="J39" s="308"/>
      <c r="K39" s="64"/>
      <c r="L39" s="205">
        <f>L38</f>
        <v>0</v>
      </c>
      <c r="M39" s="99"/>
      <c r="N39" s="99"/>
      <c r="O39" s="50"/>
      <c r="P39" s="50"/>
      <c r="Q39" s="50"/>
    </row>
    <row r="40" spans="1:19" ht="25.25" customHeight="1" thickBot="1" x14ac:dyDescent="0.4">
      <c r="A40" s="98"/>
      <c r="B40" s="53">
        <v>4</v>
      </c>
      <c r="C40" s="38" t="s">
        <v>190</v>
      </c>
      <c r="D40" s="9"/>
      <c r="E40" s="157">
        <f>SUM(E37:E39)</f>
        <v>483019.17941769154</v>
      </c>
      <c r="F40" s="101"/>
      <c r="G40" s="105"/>
      <c r="H40" s="92"/>
      <c r="I40" s="105"/>
      <c r="J40" s="92"/>
      <c r="K40" s="105"/>
      <c r="L40" s="92"/>
      <c r="M40" s="98"/>
      <c r="N40" s="98"/>
      <c r="P40" s="50"/>
      <c r="Q40" s="50"/>
    </row>
    <row r="41" spans="1:19" ht="25.25" customHeight="1" thickBot="1" x14ac:dyDescent="0.4">
      <c r="A41" s="98"/>
      <c r="B41" s="53"/>
      <c r="C41" s="58" t="s">
        <v>145</v>
      </c>
      <c r="D41" s="202"/>
      <c r="E41" s="156">
        <f>D41*E40</f>
        <v>0</v>
      </c>
      <c r="F41" s="99"/>
      <c r="G41" s="206"/>
      <c r="H41" s="298" t="s">
        <v>215</v>
      </c>
      <c r="I41" s="299"/>
      <c r="J41" s="299"/>
      <c r="K41" s="299"/>
      <c r="L41" s="300"/>
      <c r="M41" s="98"/>
      <c r="N41" s="98"/>
      <c r="P41" s="50"/>
      <c r="Q41" s="50"/>
    </row>
    <row r="42" spans="1:19" ht="25.25" customHeight="1" thickBot="1" x14ac:dyDescent="0.4">
      <c r="A42" s="101"/>
      <c r="B42" s="53"/>
      <c r="C42" s="60" t="s">
        <v>146</v>
      </c>
      <c r="D42" s="293">
        <v>3.5000000000000003E-2</v>
      </c>
      <c r="E42" s="204">
        <f>D42*(E35+E32)</f>
        <v>13430.939233837256</v>
      </c>
      <c r="F42" s="98"/>
      <c r="G42" s="199"/>
      <c r="H42" s="298" t="s">
        <v>207</v>
      </c>
      <c r="I42" s="299"/>
      <c r="J42" s="299"/>
      <c r="K42" s="299"/>
      <c r="L42" s="300"/>
      <c r="M42" s="101"/>
      <c r="N42" s="101"/>
      <c r="P42" s="50"/>
      <c r="Q42" s="50"/>
    </row>
    <row r="43" spans="1:19" ht="31" customHeight="1" thickBot="1" x14ac:dyDescent="0.4">
      <c r="A43" s="99"/>
      <c r="B43" s="53"/>
      <c r="C43" s="65" t="s">
        <v>147</v>
      </c>
      <c r="D43" s="11"/>
      <c r="E43" s="204">
        <v>0</v>
      </c>
      <c r="F43" s="98"/>
      <c r="G43" s="102"/>
      <c r="H43" s="102"/>
      <c r="J43" s="99"/>
      <c r="L43" s="98"/>
      <c r="M43" s="98"/>
      <c r="N43" s="98"/>
      <c r="Q43" s="50"/>
      <c r="R43" s="50"/>
      <c r="S43" s="50"/>
    </row>
    <row r="44" spans="1:19" ht="31" customHeight="1" thickBot="1" x14ac:dyDescent="0.4">
      <c r="A44" s="98"/>
      <c r="B44" s="53"/>
      <c r="C44" s="60" t="s">
        <v>148</v>
      </c>
      <c r="D44" s="11"/>
      <c r="E44" s="204">
        <v>0</v>
      </c>
      <c r="F44" s="101"/>
      <c r="G44" s="97"/>
      <c r="H44" s="102"/>
      <c r="I44" s="227" t="s">
        <v>208</v>
      </c>
      <c r="J44" s="228">
        <v>2476</v>
      </c>
      <c r="K44" s="229" t="s">
        <v>163</v>
      </c>
      <c r="L44" s="98"/>
      <c r="M44" s="98"/>
      <c r="N44" s="98"/>
      <c r="Q44" s="50"/>
      <c r="R44" s="50"/>
      <c r="S44" s="50"/>
    </row>
    <row r="45" spans="1:19" ht="25.25" customHeight="1" thickBot="1" x14ac:dyDescent="0.4">
      <c r="A45" s="98"/>
      <c r="B45" s="53"/>
      <c r="C45" s="60" t="s">
        <v>149</v>
      </c>
      <c r="D45" s="11"/>
      <c r="E45" s="204">
        <v>0</v>
      </c>
      <c r="F45" s="99"/>
      <c r="G45" s="96"/>
      <c r="H45" s="105"/>
      <c r="I45" s="227" t="s">
        <v>203</v>
      </c>
      <c r="J45" s="228">
        <v>100</v>
      </c>
      <c r="K45" s="229" t="s">
        <v>163</v>
      </c>
      <c r="L45" s="101"/>
      <c r="M45" s="98"/>
      <c r="N45" s="98"/>
      <c r="P45" s="50"/>
      <c r="Q45" s="50"/>
    </row>
    <row r="46" spans="1:19" ht="25.25" customHeight="1" x14ac:dyDescent="0.35">
      <c r="A46" s="101"/>
      <c r="B46" s="53"/>
      <c r="C46" s="60" t="s">
        <v>150</v>
      </c>
      <c r="D46" s="11"/>
      <c r="E46" s="204">
        <v>0</v>
      </c>
      <c r="F46" s="98"/>
      <c r="G46" s="98"/>
      <c r="H46" s="105"/>
      <c r="I46" s="92"/>
      <c r="J46" s="99"/>
      <c r="K46" s="98"/>
      <c r="L46" s="99"/>
      <c r="M46" s="101"/>
      <c r="N46" s="101"/>
      <c r="P46" s="50"/>
      <c r="Q46" s="50"/>
    </row>
    <row r="47" spans="1:19" ht="25.25" customHeight="1" x14ac:dyDescent="0.35">
      <c r="A47" s="99"/>
      <c r="B47" s="53"/>
      <c r="C47" s="60" t="s">
        <v>151</v>
      </c>
      <c r="D47" s="11"/>
      <c r="E47" s="204">
        <v>0</v>
      </c>
      <c r="F47" s="102"/>
      <c r="G47" s="98"/>
      <c r="H47" s="98"/>
      <c r="I47" s="95"/>
      <c r="J47" s="98"/>
      <c r="K47" s="99"/>
      <c r="L47" s="98"/>
      <c r="M47" s="98"/>
      <c r="N47" s="99"/>
      <c r="P47" s="50"/>
      <c r="Q47" s="50"/>
    </row>
    <row r="48" spans="1:19" ht="25.25" customHeight="1" x14ac:dyDescent="0.35">
      <c r="A48" s="98"/>
      <c r="B48" s="53"/>
      <c r="C48" s="60" t="s">
        <v>152</v>
      </c>
      <c r="D48" s="11"/>
      <c r="E48" s="204">
        <v>0</v>
      </c>
      <c r="F48" s="102"/>
      <c r="G48" s="101"/>
      <c r="H48" s="94"/>
      <c r="I48" s="105"/>
      <c r="J48" s="92"/>
      <c r="K48" s="98"/>
      <c r="L48" s="98"/>
      <c r="M48" s="98"/>
      <c r="N48" s="98"/>
      <c r="P48" s="50"/>
      <c r="Q48" s="50"/>
    </row>
    <row r="49" spans="1:17" ht="25.25" customHeight="1" x14ac:dyDescent="0.35">
      <c r="A49" s="98"/>
      <c r="B49" s="53"/>
      <c r="C49" s="60" t="s">
        <v>29</v>
      </c>
      <c r="D49" s="11"/>
      <c r="E49" s="204">
        <v>0</v>
      </c>
      <c r="F49" s="97"/>
      <c r="G49" s="99"/>
      <c r="H49" s="99"/>
      <c r="I49" s="103"/>
      <c r="J49" s="98"/>
      <c r="K49" s="98"/>
      <c r="L49" s="101"/>
      <c r="M49" s="98"/>
      <c r="N49" s="98"/>
      <c r="P49" s="50"/>
      <c r="Q49" s="50"/>
    </row>
    <row r="50" spans="1:17" ht="25.25" customHeight="1" x14ac:dyDescent="0.35">
      <c r="A50" s="101"/>
      <c r="B50" s="53"/>
      <c r="C50" s="60" t="s">
        <v>36</v>
      </c>
      <c r="D50" s="293">
        <v>1.12E-2</v>
      </c>
      <c r="E50" s="204">
        <f>D50*(E35+E32)</f>
        <v>4297.900554827922</v>
      </c>
      <c r="F50" s="96"/>
      <c r="G50" s="98"/>
      <c r="H50" s="98"/>
      <c r="I50" s="104"/>
      <c r="J50" s="99"/>
      <c r="K50" s="98"/>
      <c r="L50" s="101"/>
      <c r="M50" s="98"/>
      <c r="N50" s="101"/>
      <c r="P50" s="50"/>
      <c r="Q50" s="50"/>
    </row>
    <row r="51" spans="1:17" ht="25.25" customHeight="1" x14ac:dyDescent="0.35">
      <c r="A51" s="99"/>
      <c r="B51" s="53"/>
      <c r="C51" s="60" t="s">
        <v>30</v>
      </c>
      <c r="D51" s="12"/>
      <c r="E51" s="204">
        <v>0</v>
      </c>
      <c r="F51" s="102"/>
      <c r="G51" s="98"/>
      <c r="H51" s="98"/>
      <c r="I51" s="99"/>
      <c r="J51" s="100"/>
      <c r="K51" s="98"/>
      <c r="L51" s="101"/>
      <c r="M51" s="98"/>
      <c r="N51" s="96"/>
      <c r="P51" s="50"/>
      <c r="Q51" s="50"/>
    </row>
    <row r="52" spans="1:17" ht="25.25" customHeight="1" x14ac:dyDescent="0.35">
      <c r="A52" s="98"/>
      <c r="B52" s="53"/>
      <c r="C52" s="207" t="s">
        <v>31</v>
      </c>
      <c r="D52" s="294">
        <v>4.4999999999999997E-3</v>
      </c>
      <c r="E52" s="234">
        <f>D52*E40</f>
        <v>2173.5863073796118</v>
      </c>
      <c r="F52" s="102"/>
      <c r="G52" s="101"/>
      <c r="H52" s="101"/>
      <c r="I52" s="98"/>
      <c r="J52" s="100"/>
      <c r="K52" s="98"/>
      <c r="L52" s="101"/>
      <c r="M52" s="98"/>
      <c r="N52" s="102"/>
      <c r="O52" s="50"/>
      <c r="P52" s="50"/>
      <c r="Q52" s="50"/>
    </row>
    <row r="53" spans="1:17" ht="25.25" customHeight="1" thickBot="1" x14ac:dyDescent="0.4">
      <c r="A53" s="98"/>
      <c r="B53" s="54"/>
      <c r="C53" s="55"/>
      <c r="D53" s="106"/>
      <c r="E53" s="158"/>
      <c r="F53" s="97"/>
      <c r="G53" s="99"/>
      <c r="H53" s="99"/>
      <c r="I53" s="98"/>
      <c r="J53" s="93"/>
      <c r="K53" s="98"/>
      <c r="L53" s="101"/>
      <c r="M53" s="98"/>
      <c r="N53" s="102"/>
      <c r="O53" s="50"/>
      <c r="P53" s="50"/>
      <c r="Q53" s="50"/>
    </row>
    <row r="54" spans="1:17" ht="25.25" customHeight="1" thickBot="1" x14ac:dyDescent="0.4">
      <c r="A54" s="101"/>
      <c r="B54" s="66">
        <v>5</v>
      </c>
      <c r="C54" s="39" t="s">
        <v>34</v>
      </c>
      <c r="D54" s="15"/>
      <c r="E54" s="159">
        <f>SUM(E40:E53)</f>
        <v>502921.60551373631</v>
      </c>
      <c r="F54" s="99"/>
      <c r="G54" s="98"/>
      <c r="H54" s="98"/>
      <c r="I54" s="101"/>
      <c r="J54" s="94"/>
      <c r="K54" s="98"/>
      <c r="L54" s="101"/>
      <c r="M54" s="98"/>
      <c r="N54" s="97"/>
      <c r="O54" s="50"/>
      <c r="P54" s="50"/>
      <c r="Q54" s="50"/>
    </row>
    <row r="55" spans="1:17" x14ac:dyDescent="0.35">
      <c r="A55" s="99"/>
      <c r="B55" s="99"/>
      <c r="C55" s="99"/>
      <c r="D55" s="99"/>
      <c r="E55" s="99"/>
      <c r="F55" s="98"/>
      <c r="G55" s="98"/>
      <c r="H55" s="98"/>
      <c r="I55" s="99"/>
      <c r="J55" s="98"/>
      <c r="K55" s="98"/>
      <c r="L55" s="101"/>
      <c r="M55" s="98"/>
      <c r="N55" s="99"/>
    </row>
    <row r="56" spans="1:17" x14ac:dyDescent="0.35">
      <c r="A56" s="98"/>
      <c r="B56" s="98"/>
      <c r="C56" s="98"/>
      <c r="D56" s="98"/>
      <c r="E56" s="98"/>
      <c r="F56" s="98"/>
      <c r="G56" s="101"/>
      <c r="H56" s="101"/>
      <c r="I56" s="98"/>
      <c r="J56" s="98"/>
      <c r="K56" s="99"/>
      <c r="L56" s="98"/>
      <c r="M56" s="99"/>
      <c r="N56" s="98"/>
    </row>
  </sheetData>
  <mergeCells count="14">
    <mergeCell ref="A1:N1"/>
    <mergeCell ref="H42:L42"/>
    <mergeCell ref="B31:E31"/>
    <mergeCell ref="G31:L31"/>
    <mergeCell ref="H32:J32"/>
    <mergeCell ref="B3:M3"/>
    <mergeCell ref="H41:L41"/>
    <mergeCell ref="H39:J39"/>
    <mergeCell ref="H33:J33"/>
    <mergeCell ref="H34:J34"/>
    <mergeCell ref="H38:J38"/>
    <mergeCell ref="H35:I35"/>
    <mergeCell ref="H36:I36"/>
    <mergeCell ref="H37:I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E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0021"/>
    <pageSetUpPr fitToPage="1"/>
  </sheetPr>
  <dimension ref="A1:S862"/>
  <sheetViews>
    <sheetView tabSelected="1" zoomScale="33" zoomScaleNormal="33" zoomScaleSheetLayoutView="70" zoomScalePageLayoutView="70" workbookViewId="0">
      <selection activeCell="W22" sqref="W22"/>
    </sheetView>
  </sheetViews>
  <sheetFormatPr defaultColWidth="8.81640625" defaultRowHeight="14.5" x14ac:dyDescent="0.35"/>
  <cols>
    <col min="1" max="1" width="6.1796875" style="48" customWidth="1"/>
    <col min="2" max="3" width="15.81640625" style="48" customWidth="1"/>
    <col min="4" max="4" width="13.81640625" style="74" customWidth="1"/>
    <col min="5" max="5" width="82.81640625" style="75" customWidth="1"/>
    <col min="6" max="6" width="15.81640625" style="76" customWidth="1"/>
    <col min="7" max="8" width="15.81640625" style="49" customWidth="1"/>
    <col min="9" max="9" width="15.81640625" style="76" customWidth="1"/>
    <col min="10" max="12" width="15.81640625" style="77" customWidth="1"/>
    <col min="13" max="13" width="15.81640625" style="291" customWidth="1"/>
    <col min="14" max="14" width="15.81640625" style="35" customWidth="1"/>
    <col min="15" max="15" width="15.81640625" style="77" customWidth="1"/>
    <col min="16" max="16" width="15.81640625" style="36" customWidth="1"/>
    <col min="17" max="17" width="15.81640625" style="277" customWidth="1"/>
    <col min="18" max="18" width="18" style="48" customWidth="1"/>
    <col min="19" max="19" width="8.984375E-2" style="48" customWidth="1"/>
    <col min="20" max="20" width="14.54296875" style="48" bestFit="1" customWidth="1"/>
    <col min="21" max="16384" width="8.81640625" style="48"/>
  </cols>
  <sheetData>
    <row r="1" spans="1:19" ht="45" customHeight="1" thickBot="1" x14ac:dyDescent="0.4">
      <c r="A1" s="346"/>
      <c r="B1" s="347"/>
      <c r="C1" s="347"/>
      <c r="D1" s="348"/>
      <c r="E1" s="357" t="s">
        <v>608</v>
      </c>
      <c r="F1" s="358"/>
      <c r="G1" s="358"/>
      <c r="H1" s="358"/>
      <c r="I1" s="358"/>
      <c r="J1" s="358"/>
      <c r="K1" s="358"/>
      <c r="L1" s="359"/>
      <c r="M1" s="333" t="s">
        <v>173</v>
      </c>
      <c r="N1" s="334"/>
      <c r="O1" s="335">
        <f>SUM(R$853+R$854)+('Bid Recap &amp; Summary'!E$33+'Bid Recap &amp; Summary'!E$34+'Bid Recap &amp; Summary'!E$36)</f>
        <v>402515.98284807638</v>
      </c>
      <c r="P1" s="336"/>
      <c r="Q1" s="336"/>
      <c r="R1" s="337"/>
    </row>
    <row r="2" spans="1:19" ht="45" customHeight="1" thickBot="1" x14ac:dyDescent="0.4">
      <c r="A2" s="349"/>
      <c r="B2" s="350"/>
      <c r="C2" s="350"/>
      <c r="D2" s="351"/>
      <c r="E2" s="313" t="s">
        <v>609</v>
      </c>
      <c r="F2" s="314"/>
      <c r="G2" s="314"/>
      <c r="H2" s="314"/>
      <c r="I2" s="314"/>
      <c r="J2" s="314"/>
      <c r="K2" s="314"/>
      <c r="L2" s="314"/>
      <c r="M2" s="333" t="s">
        <v>168</v>
      </c>
      <c r="N2" s="334"/>
      <c r="O2" s="335">
        <f>O$1*'Bid Recap &amp; Summary'!D$38</f>
        <v>40251.598284807638</v>
      </c>
      <c r="P2" s="336"/>
      <c r="Q2" s="336"/>
      <c r="R2" s="337"/>
    </row>
    <row r="3" spans="1:19" ht="45" customHeight="1" thickBot="1" x14ac:dyDescent="0.4">
      <c r="A3" s="349"/>
      <c r="B3" s="350"/>
      <c r="C3" s="350"/>
      <c r="D3" s="351"/>
      <c r="E3" s="78" t="s">
        <v>170</v>
      </c>
      <c r="F3" s="314" t="s">
        <v>610</v>
      </c>
      <c r="G3" s="314"/>
      <c r="H3" s="314"/>
      <c r="I3" s="314"/>
      <c r="J3" s="314"/>
      <c r="K3" s="314"/>
      <c r="L3" s="315"/>
      <c r="M3" s="333" t="s">
        <v>169</v>
      </c>
      <c r="N3" s="334"/>
      <c r="O3" s="335">
        <f>O$1*'Bid Recap &amp; Summary'!D$39</f>
        <v>40251.598284807638</v>
      </c>
      <c r="P3" s="336"/>
      <c r="Q3" s="336"/>
      <c r="R3" s="337"/>
    </row>
    <row r="4" spans="1:19" ht="45" customHeight="1" thickBot="1" x14ac:dyDescent="0.4">
      <c r="A4" s="349"/>
      <c r="B4" s="350"/>
      <c r="C4" s="350"/>
      <c r="D4" s="351"/>
      <c r="E4" s="78" t="s">
        <v>171</v>
      </c>
      <c r="F4" s="314" t="s">
        <v>172</v>
      </c>
      <c r="G4" s="314"/>
      <c r="H4" s="314"/>
      <c r="I4" s="314"/>
      <c r="J4" s="314"/>
      <c r="K4" s="314"/>
      <c r="L4" s="315"/>
      <c r="M4" s="360" t="s">
        <v>166</v>
      </c>
      <c r="N4" s="361"/>
      <c r="O4" s="335">
        <f>SUM('Bid Recap &amp; Summary'!E$41:E$53)</f>
        <v>19902.426096044794</v>
      </c>
      <c r="P4" s="336"/>
      <c r="Q4" s="336"/>
      <c r="R4" s="337"/>
    </row>
    <row r="5" spans="1:19" ht="40" customHeight="1" thickBot="1" x14ac:dyDescent="0.4">
      <c r="A5" s="352"/>
      <c r="B5" s="353"/>
      <c r="C5" s="353"/>
      <c r="D5" s="354"/>
      <c r="E5" s="138" t="s">
        <v>133</v>
      </c>
      <c r="F5" s="362">
        <v>46069</v>
      </c>
      <c r="G5" s="362"/>
      <c r="H5" s="362"/>
      <c r="I5" s="362"/>
      <c r="J5" s="362"/>
      <c r="K5" s="362"/>
      <c r="L5" s="363"/>
      <c r="M5" s="329" t="s">
        <v>183</v>
      </c>
      <c r="N5" s="330"/>
      <c r="O5" s="322">
        <f>SUM(O$1:Q$4)</f>
        <v>502921.60551373643</v>
      </c>
      <c r="P5" s="323"/>
      <c r="Q5" s="323"/>
      <c r="R5" s="324"/>
    </row>
    <row r="6" spans="1:19" s="237" customFormat="1" ht="30" customHeight="1" thickBot="1" x14ac:dyDescent="0.4">
      <c r="A6" s="313"/>
      <c r="B6" s="314"/>
      <c r="C6" s="314"/>
      <c r="D6" s="314"/>
      <c r="E6" s="314"/>
      <c r="F6" s="315"/>
      <c r="G6" s="235"/>
      <c r="H6" s="316" t="s">
        <v>218</v>
      </c>
      <c r="I6" s="317"/>
      <c r="J6" s="317"/>
      <c r="K6" s="318"/>
      <c r="L6" s="319" t="s">
        <v>219</v>
      </c>
      <c r="M6" s="320"/>
      <c r="N6" s="320"/>
      <c r="O6" s="320"/>
      <c r="P6" s="320"/>
      <c r="Q6" s="321"/>
      <c r="R6" s="236"/>
    </row>
    <row r="7" spans="1:19" ht="50" customHeight="1" thickBot="1" x14ac:dyDescent="0.4">
      <c r="A7" s="24" t="s">
        <v>0</v>
      </c>
      <c r="B7" s="24" t="s">
        <v>10</v>
      </c>
      <c r="C7" s="25" t="s">
        <v>11</v>
      </c>
      <c r="D7" s="26" t="s">
        <v>43</v>
      </c>
      <c r="E7" s="24" t="s">
        <v>1</v>
      </c>
      <c r="F7" s="27" t="s">
        <v>2</v>
      </c>
      <c r="G7" s="24" t="s">
        <v>3</v>
      </c>
      <c r="H7" s="24" t="s">
        <v>155</v>
      </c>
      <c r="I7" s="27" t="s">
        <v>153</v>
      </c>
      <c r="J7" s="28" t="s">
        <v>9</v>
      </c>
      <c r="K7" s="28" t="s">
        <v>4</v>
      </c>
      <c r="L7" s="28" t="s">
        <v>154</v>
      </c>
      <c r="M7" s="278" t="s">
        <v>6</v>
      </c>
      <c r="N7" s="149" t="s">
        <v>7</v>
      </c>
      <c r="O7" s="28" t="s">
        <v>5</v>
      </c>
      <c r="P7" s="150" t="s">
        <v>204</v>
      </c>
      <c r="Q7" s="271" t="s">
        <v>8</v>
      </c>
      <c r="R7" s="150"/>
    </row>
    <row r="8" spans="1:19" ht="30" customHeight="1" thickBot="1" x14ac:dyDescent="0.4">
      <c r="A8" s="182"/>
      <c r="B8" s="183"/>
      <c r="C8" s="184"/>
      <c r="D8" s="184"/>
      <c r="E8" s="185" t="s">
        <v>198</v>
      </c>
      <c r="F8" s="186"/>
      <c r="G8" s="186"/>
      <c r="H8" s="183"/>
      <c r="I8" s="186"/>
      <c r="J8" s="256"/>
      <c r="K8" s="256"/>
      <c r="L8" s="256"/>
      <c r="M8" s="279"/>
      <c r="N8" s="183"/>
      <c r="O8" s="256"/>
      <c r="P8" s="183"/>
      <c r="Q8" s="256"/>
      <c r="R8" s="187"/>
    </row>
    <row r="9" spans="1:19" ht="25" customHeight="1" thickBot="1" x14ac:dyDescent="0.4">
      <c r="A9" s="169"/>
      <c r="B9" s="170"/>
      <c r="C9" s="171" t="s">
        <v>144</v>
      </c>
      <c r="D9" s="180" t="s">
        <v>156</v>
      </c>
      <c r="E9" s="180" t="s">
        <v>157</v>
      </c>
      <c r="F9" s="181"/>
      <c r="G9" s="172"/>
      <c r="H9" s="170"/>
      <c r="I9" s="172"/>
      <c r="J9" s="263"/>
      <c r="K9" s="263"/>
      <c r="L9" s="257">
        <v>54</v>
      </c>
      <c r="M9" s="280"/>
      <c r="N9" s="170"/>
      <c r="O9" s="263"/>
      <c r="P9" s="170"/>
      <c r="Q9" s="263"/>
      <c r="R9" s="173"/>
      <c r="S9" s="50">
        <f>SUM(Q22:Q848)</f>
        <v>373774.17112188216</v>
      </c>
    </row>
    <row r="10" spans="1:19" ht="14.5" customHeight="1" x14ac:dyDescent="0.35">
      <c r="A10" s="107" t="str">
        <f>IF(TRIM(G10)&lt;&gt;"",COUNTA(G8:$G$10)&amp;"","")</f>
        <v/>
      </c>
      <c r="B10" s="108"/>
      <c r="C10" s="108"/>
      <c r="D10" s="109"/>
      <c r="E10" s="110"/>
      <c r="F10" s="111"/>
      <c r="G10" s="112"/>
      <c r="H10" s="113" t="str">
        <f>IF(F10=0,"",0)</f>
        <v/>
      </c>
      <c r="I10" s="114" t="str">
        <f t="shared" ref="I10" si="0">IF(F10=0,"",F10+(F10*H10))</f>
        <v/>
      </c>
      <c r="J10" s="264" t="str">
        <f>IF(F10=0,"",0)</f>
        <v/>
      </c>
      <c r="K10" s="258" t="str">
        <f>IF(F10=0,"",J10*I10)</f>
        <v/>
      </c>
      <c r="L10" s="258" t="str">
        <f>IF(F10=0,"",L$9)</f>
        <v/>
      </c>
      <c r="M10" s="281" t="str">
        <f>IF(F10=0,"",0)</f>
        <v/>
      </c>
      <c r="N10" s="115" t="str">
        <f>IF(F10=0,"",M10*I10)</f>
        <v/>
      </c>
      <c r="O10" s="258" t="str">
        <f>IF(F10=0,"",N10*L10)</f>
        <v/>
      </c>
      <c r="P10" s="116" t="str">
        <f>IF(F10=0,"",(K10+O10)/I10)</f>
        <v/>
      </c>
      <c r="Q10" s="258" t="str">
        <f>IF(F10=0,"",(P10*I10))</f>
        <v/>
      </c>
      <c r="R10" s="117"/>
      <c r="S10" s="91"/>
    </row>
    <row r="11" spans="1:19" x14ac:dyDescent="0.35">
      <c r="A11" s="67" t="str">
        <f>IF(TRIM(G11)&lt;&gt;"",COUNTA(G11:$G$11)&amp;"","")</f>
        <v>1</v>
      </c>
      <c r="B11" s="68"/>
      <c r="C11" s="68"/>
      <c r="D11" s="30"/>
      <c r="E11" s="65" t="s">
        <v>178</v>
      </c>
      <c r="F11" s="69">
        <v>1</v>
      </c>
      <c r="G11" s="70" t="s">
        <v>163</v>
      </c>
      <c r="H11" s="21">
        <f t="shared" ref="H11:H12" si="1">IF(F11=0,"",0)</f>
        <v>0</v>
      </c>
      <c r="I11" s="47">
        <f t="shared" ref="I11:I18" si="2">IF(F11=0,"",F11+(F11*H11))</f>
        <v>1</v>
      </c>
      <c r="J11" s="265">
        <f t="shared" ref="J11:J18" si="3">IF(F11=0,"",0)</f>
        <v>0</v>
      </c>
      <c r="K11" s="268">
        <f t="shared" ref="K11:K18" si="4">IF(F11=0,"",J11*I11)</f>
        <v>0</v>
      </c>
      <c r="L11" s="258">
        <f t="shared" ref="L11:L18" si="5">IF(F11=0,"",L$9)</f>
        <v>54</v>
      </c>
      <c r="M11" s="282">
        <f>$S$9*S11/L11</f>
        <v>85.137450088873166</v>
      </c>
      <c r="N11" s="22">
        <f t="shared" ref="N11:N18" si="6">IF(F11=0,"",M11*I11)</f>
        <v>85.137450088873166</v>
      </c>
      <c r="O11" s="268">
        <f t="shared" ref="O11:O18" si="7">IF(F11=0,"",N11*L11)</f>
        <v>4597.4223047991509</v>
      </c>
      <c r="P11" s="23">
        <f t="shared" ref="P11:P18" si="8">IF(F11=0,"",(K11+O11)/I11)</f>
        <v>4597.4223047991509</v>
      </c>
      <c r="Q11" s="268">
        <f t="shared" ref="Q11:Q18" si="9">IF(F11=0,"",(P11*I11))</f>
        <v>4597.4223047991509</v>
      </c>
      <c r="R11" s="118"/>
      <c r="S11" s="91">
        <v>1.23E-2</v>
      </c>
    </row>
    <row r="12" spans="1:19" x14ac:dyDescent="0.35">
      <c r="A12" s="67" t="str">
        <f>IF(TRIM(G12)&lt;&gt;"",COUNTA(G$11:$G12)&amp;"","")</f>
        <v>2</v>
      </c>
      <c r="B12" s="68"/>
      <c r="C12" s="68"/>
      <c r="D12" s="30"/>
      <c r="E12" s="65" t="s">
        <v>217</v>
      </c>
      <c r="F12" s="69">
        <v>1</v>
      </c>
      <c r="G12" s="70" t="s">
        <v>213</v>
      </c>
      <c r="H12" s="21">
        <f t="shared" si="1"/>
        <v>0</v>
      </c>
      <c r="I12" s="47">
        <f t="shared" si="2"/>
        <v>1</v>
      </c>
      <c r="J12" s="265">
        <f t="shared" si="3"/>
        <v>0</v>
      </c>
      <c r="K12" s="268">
        <f t="shared" si="4"/>
        <v>0</v>
      </c>
      <c r="L12" s="258">
        <f t="shared" si="5"/>
        <v>54</v>
      </c>
      <c r="M12" s="282">
        <f t="shared" ref="M12:M13" si="10">$S$9*S12/L12</f>
        <v>44.99133541281914</v>
      </c>
      <c r="N12" s="22">
        <f t="shared" si="6"/>
        <v>44.99133541281914</v>
      </c>
      <c r="O12" s="268">
        <f t="shared" si="7"/>
        <v>2429.5321122922337</v>
      </c>
      <c r="P12" s="23">
        <f t="shared" si="8"/>
        <v>2429.5321122922337</v>
      </c>
      <c r="Q12" s="268">
        <f t="shared" si="9"/>
        <v>2429.5321122922337</v>
      </c>
      <c r="R12" s="118"/>
      <c r="S12" s="91">
        <v>6.4999999999999997E-3</v>
      </c>
    </row>
    <row r="13" spans="1:19" x14ac:dyDescent="0.35">
      <c r="A13" s="67" t="str">
        <f>IF(TRIM(G13)&lt;&gt;"",COUNTA(G$11:$G13)&amp;"","")</f>
        <v>3</v>
      </c>
      <c r="B13" s="68"/>
      <c r="C13" s="68"/>
      <c r="D13" s="30"/>
      <c r="E13" s="65" t="s">
        <v>194</v>
      </c>
      <c r="F13" s="69">
        <v>1</v>
      </c>
      <c r="G13" s="70" t="s">
        <v>163</v>
      </c>
      <c r="H13" s="21">
        <f t="shared" ref="H13:H18" si="11">IF(F13=0,"",0)</f>
        <v>0</v>
      </c>
      <c r="I13" s="47">
        <f t="shared" si="2"/>
        <v>1</v>
      </c>
      <c r="J13" s="265">
        <f t="shared" si="3"/>
        <v>0</v>
      </c>
      <c r="K13" s="268">
        <f t="shared" si="4"/>
        <v>0</v>
      </c>
      <c r="L13" s="258">
        <f t="shared" si="5"/>
        <v>54</v>
      </c>
      <c r="M13" s="282">
        <f t="shared" si="10"/>
        <v>17.304359774161213</v>
      </c>
      <c r="N13" s="22">
        <f t="shared" si="6"/>
        <v>17.304359774161213</v>
      </c>
      <c r="O13" s="268">
        <f t="shared" si="7"/>
        <v>934.43542780470557</v>
      </c>
      <c r="P13" s="23">
        <f t="shared" si="8"/>
        <v>934.43542780470557</v>
      </c>
      <c r="Q13" s="268">
        <f t="shared" si="9"/>
        <v>934.43542780470557</v>
      </c>
      <c r="R13" s="118"/>
      <c r="S13" s="91">
        <v>2.5000000000000001E-3</v>
      </c>
    </row>
    <row r="14" spans="1:19" x14ac:dyDescent="0.35">
      <c r="A14" s="67" t="str">
        <f>IF(TRIM(G14)&lt;&gt;"",COUNTA(G$11:$G14)&amp;"","")</f>
        <v>4</v>
      </c>
      <c r="B14" s="68"/>
      <c r="C14" s="68"/>
      <c r="D14" s="30"/>
      <c r="E14" s="52" t="s">
        <v>210</v>
      </c>
      <c r="F14" s="69">
        <f>'Bid Recap &amp; Summary'!J44</f>
        <v>2476</v>
      </c>
      <c r="G14" s="70" t="s">
        <v>163</v>
      </c>
      <c r="H14" s="21">
        <f t="shared" si="11"/>
        <v>0</v>
      </c>
      <c r="I14" s="47">
        <f t="shared" si="2"/>
        <v>2476</v>
      </c>
      <c r="J14" s="265">
        <f t="shared" si="3"/>
        <v>0</v>
      </c>
      <c r="K14" s="268">
        <f t="shared" si="4"/>
        <v>0</v>
      </c>
      <c r="L14" s="258">
        <f t="shared" si="5"/>
        <v>54</v>
      </c>
      <c r="M14" s="282">
        <v>1.4999999999999999E-2</v>
      </c>
      <c r="N14" s="22">
        <f t="shared" si="6"/>
        <v>37.14</v>
      </c>
      <c r="O14" s="268">
        <f t="shared" si="7"/>
        <v>2005.56</v>
      </c>
      <c r="P14" s="23">
        <f t="shared" si="8"/>
        <v>0.80999999999999994</v>
      </c>
      <c r="Q14" s="268">
        <f t="shared" si="9"/>
        <v>2005.56</v>
      </c>
      <c r="R14" s="118"/>
      <c r="S14" s="91">
        <v>3.5000000000000001E-3</v>
      </c>
    </row>
    <row r="15" spans="1:19" x14ac:dyDescent="0.35">
      <c r="A15" s="67" t="str">
        <f>IF(TRIM(G15)&lt;&gt;"",COUNTA(G$11:$G15)&amp;"","")</f>
        <v/>
      </c>
      <c r="B15" s="71"/>
      <c r="C15" s="71"/>
      <c r="D15" s="30"/>
      <c r="E15" s="242"/>
      <c r="F15" s="69"/>
      <c r="G15" s="70"/>
      <c r="H15" s="21"/>
      <c r="I15" s="47"/>
      <c r="J15" s="265"/>
      <c r="K15" s="268"/>
      <c r="L15" s="258"/>
      <c r="M15" s="282"/>
      <c r="N15" s="22"/>
      <c r="O15" s="268"/>
      <c r="P15" s="23"/>
      <c r="Q15" s="272"/>
      <c r="R15" s="119"/>
      <c r="S15" s="91"/>
    </row>
    <row r="16" spans="1:19" x14ac:dyDescent="0.35">
      <c r="A16" s="67" t="str">
        <f>IF(TRIM(G16)&lt;&gt;"",COUNTA(G$11:$G16)&amp;"","")</f>
        <v/>
      </c>
      <c r="B16" s="71"/>
      <c r="C16" s="71"/>
      <c r="D16" s="30"/>
      <c r="E16" s="191" t="s">
        <v>231</v>
      </c>
      <c r="F16" s="69"/>
      <c r="G16" s="70"/>
      <c r="H16" s="21"/>
      <c r="I16" s="47"/>
      <c r="J16" s="265"/>
      <c r="K16" s="268"/>
      <c r="L16" s="258"/>
      <c r="M16" s="282"/>
      <c r="N16" s="22"/>
      <c r="O16" s="268"/>
      <c r="P16" s="23"/>
      <c r="Q16" s="272"/>
      <c r="R16" s="119"/>
      <c r="S16" s="91"/>
    </row>
    <row r="17" spans="1:19" x14ac:dyDescent="0.35">
      <c r="A17" s="67" t="str">
        <f>IF(TRIM(G17)&lt;&gt;"",COUNTA(G$11:$G17)&amp;"","")</f>
        <v>5</v>
      </c>
      <c r="B17" s="71"/>
      <c r="C17" s="71"/>
      <c r="D17" s="30"/>
      <c r="E17" s="242" t="s">
        <v>232</v>
      </c>
      <c r="F17" s="69">
        <v>113</v>
      </c>
      <c r="G17" s="70" t="s">
        <v>163</v>
      </c>
      <c r="H17" s="21">
        <f t="shared" ref="H17" si="12">IF(F17=0,"",0)</f>
        <v>0</v>
      </c>
      <c r="I17" s="47">
        <f t="shared" ref="I17" si="13">IF(F17=0,"",F17+(F17*H17))</f>
        <v>113</v>
      </c>
      <c r="J17" s="265">
        <f t="shared" ref="J17" si="14">IF(F17=0,"",0)</f>
        <v>0</v>
      </c>
      <c r="K17" s="268">
        <f t="shared" ref="K17" si="15">IF(F17=0,"",J17*I17)</f>
        <v>0</v>
      </c>
      <c r="L17" s="258">
        <f t="shared" ref="L17" si="16">IF(F17=0,"",L$9)</f>
        <v>54</v>
      </c>
      <c r="M17" s="282">
        <f t="shared" ref="M17" si="17">$S$9*S17/L17</f>
        <v>0</v>
      </c>
      <c r="N17" s="22">
        <f t="shared" ref="N17" si="18">IF(F17=0,"",M17*I17)</f>
        <v>0</v>
      </c>
      <c r="O17" s="268">
        <f t="shared" ref="O17" si="19">IF(F17=0,"",N17*L17)</f>
        <v>0</v>
      </c>
      <c r="P17" s="23">
        <f t="shared" ref="P17" si="20">IF(F17=0,"",(K17+O17)/I17)</f>
        <v>0</v>
      </c>
      <c r="Q17" s="268">
        <f t="shared" ref="Q17" si="21">IF(F17=0,"",(P17*I17))</f>
        <v>0</v>
      </c>
      <c r="R17" s="118"/>
      <c r="S17" s="91"/>
    </row>
    <row r="18" spans="1:19" ht="15" thickBot="1" x14ac:dyDescent="0.4">
      <c r="A18" s="67" t="str">
        <f>IF(TRIM(G18)&lt;&gt;"",COUNTA(G$11:$G18)&amp;"","")</f>
        <v/>
      </c>
      <c r="B18" s="71"/>
      <c r="C18" s="71"/>
      <c r="D18" s="30"/>
      <c r="E18" s="72"/>
      <c r="F18" s="69"/>
      <c r="G18" s="70"/>
      <c r="H18" s="21" t="str">
        <f t="shared" si="11"/>
        <v/>
      </c>
      <c r="I18" s="47" t="str">
        <f t="shared" si="2"/>
        <v/>
      </c>
      <c r="J18" s="265" t="str">
        <f t="shared" si="3"/>
        <v/>
      </c>
      <c r="K18" s="268" t="str">
        <f t="shared" si="4"/>
        <v/>
      </c>
      <c r="L18" s="258" t="str">
        <f t="shared" si="5"/>
        <v/>
      </c>
      <c r="M18" s="282" t="str">
        <f t="shared" ref="M18" si="22">IF(F18=0,"",0)</f>
        <v/>
      </c>
      <c r="N18" s="22" t="str">
        <f t="shared" si="6"/>
        <v/>
      </c>
      <c r="O18" s="268" t="str">
        <f t="shared" si="7"/>
        <v/>
      </c>
      <c r="P18" s="23" t="str">
        <f t="shared" si="8"/>
        <v/>
      </c>
      <c r="Q18" s="272" t="str">
        <f t="shared" si="9"/>
        <v/>
      </c>
      <c r="R18" s="119"/>
      <c r="S18" s="91">
        <v>7.4999999999999997E-3</v>
      </c>
    </row>
    <row r="19" spans="1:19" s="2" customFormat="1" ht="16" thickBot="1" x14ac:dyDescent="0.4">
      <c r="A19" s="67" t="str">
        <f>IF(TRIM(G19)&lt;&gt;"",COUNTA(G$11:$G19)&amp;"","")</f>
        <v/>
      </c>
      <c r="B19" s="1"/>
      <c r="C19" s="1"/>
      <c r="D19" s="19"/>
      <c r="E19" s="18"/>
      <c r="F19" s="45"/>
      <c r="G19" s="46"/>
      <c r="H19" s="79" t="s">
        <v>12</v>
      </c>
      <c r="I19" s="80"/>
      <c r="J19" s="40">
        <f>SUM(K$10:K$18)</f>
        <v>0</v>
      </c>
      <c r="K19" s="331" t="s">
        <v>13</v>
      </c>
      <c r="L19" s="332"/>
      <c r="M19" s="283">
        <f>SUM(O$10:O$18)</f>
        <v>9966.9498448960912</v>
      </c>
      <c r="N19" s="331" t="s">
        <v>42</v>
      </c>
      <c r="O19" s="332"/>
      <c r="P19" s="42">
        <f>SUM(N$10:N$18)</f>
        <v>184.57314527585351</v>
      </c>
      <c r="Q19" s="273" t="s">
        <v>205</v>
      </c>
      <c r="R19" s="41">
        <f>SUM(Q10:Q18)</f>
        <v>9966.9498448960912</v>
      </c>
      <c r="S19" s="292"/>
    </row>
    <row r="20" spans="1:19" ht="30" customHeight="1" thickBot="1" x14ac:dyDescent="0.4">
      <c r="A20" s="182" t="str">
        <f>IF(TRIM(G20)&lt;&gt;"",COUNTA(G$11:$G20)&amp;"","")</f>
        <v/>
      </c>
      <c r="B20" s="183"/>
      <c r="C20" s="184"/>
      <c r="D20" s="184"/>
      <c r="E20" s="185" t="s">
        <v>197</v>
      </c>
      <c r="F20" s="186"/>
      <c r="G20" s="186"/>
      <c r="H20" s="183"/>
      <c r="I20" s="186"/>
      <c r="J20" s="256"/>
      <c r="K20" s="256"/>
      <c r="L20" s="256"/>
      <c r="M20" s="279"/>
      <c r="N20" s="183"/>
      <c r="O20" s="256"/>
      <c r="P20" s="183"/>
      <c r="Q20" s="256"/>
      <c r="R20" s="187"/>
    </row>
    <row r="21" spans="1:19" ht="25" customHeight="1" thickBot="1" x14ac:dyDescent="0.4">
      <c r="A21" s="169" t="str">
        <f>IF(TRIM(G21)&lt;&gt;"",COUNTA(G$11:$G21)&amp;"","")</f>
        <v/>
      </c>
      <c r="B21" s="170"/>
      <c r="C21" s="171" t="s">
        <v>144</v>
      </c>
      <c r="D21" s="180" t="s">
        <v>55</v>
      </c>
      <c r="E21" s="180" t="s">
        <v>164</v>
      </c>
      <c r="F21" s="181"/>
      <c r="G21" s="172"/>
      <c r="H21" s="170"/>
      <c r="I21" s="172"/>
      <c r="J21" s="263"/>
      <c r="K21" s="263"/>
      <c r="L21" s="257">
        <v>42</v>
      </c>
      <c r="M21" s="280"/>
      <c r="N21" s="170"/>
      <c r="O21" s="263"/>
      <c r="P21" s="170"/>
      <c r="Q21" s="263"/>
      <c r="R21" s="173"/>
    </row>
    <row r="22" spans="1:19" s="17" customFormat="1" ht="19.25" customHeight="1" x14ac:dyDescent="0.35">
      <c r="A22" s="67" t="str">
        <f>IF(TRIM(G22)&lt;&gt;"",COUNTA(G$11:$G22)&amp;"","")</f>
        <v/>
      </c>
      <c r="B22" s="29"/>
      <c r="C22" s="29"/>
      <c r="D22" s="193" t="s">
        <v>69</v>
      </c>
      <c r="E22" s="191" t="s">
        <v>68</v>
      </c>
      <c r="F22" s="69"/>
      <c r="G22" s="70"/>
      <c r="H22" s="21" t="str">
        <f t="shared" ref="H22:H23" si="23">IF(F22=0,"",0)</f>
        <v/>
      </c>
      <c r="I22" s="47" t="str">
        <f t="shared" ref="I22:I23" si="24">IF(F22=0,"",F22+(F22*H22))</f>
        <v/>
      </c>
      <c r="J22" s="265" t="str">
        <f t="shared" ref="J22:J23" si="25">IF(F22=0,"",0)</f>
        <v/>
      </c>
      <c r="K22" s="268" t="str">
        <f t="shared" ref="K22:K23" si="26">IF(F22=0,"",J22*I22)</f>
        <v/>
      </c>
      <c r="L22" s="258" t="str">
        <f t="shared" ref="L22:L23" si="27">IF(F22=0,"",L$21)</f>
        <v/>
      </c>
      <c r="M22" s="282" t="str">
        <f t="shared" ref="M22" si="28">IF(F22=0,"",0)</f>
        <v/>
      </c>
      <c r="N22" s="22" t="str">
        <f t="shared" ref="N22:N23" si="29">IF(F22=0,"",M22*I22)</f>
        <v/>
      </c>
      <c r="O22" s="268" t="str">
        <f t="shared" ref="O22:O23" si="30">IF(F22=0,"",N22*L22)</f>
        <v/>
      </c>
      <c r="P22" s="23" t="str">
        <f t="shared" ref="P22:P23" si="31">IF(F22=0,"",(K22+O22)/I22)</f>
        <v/>
      </c>
      <c r="Q22" s="268" t="str">
        <f t="shared" ref="Q22:Q23" si="32">IF(F22=0,"",(P22*I22))</f>
        <v/>
      </c>
      <c r="R22" s="120"/>
    </row>
    <row r="23" spans="1:19" x14ac:dyDescent="0.35">
      <c r="A23" s="67" t="str">
        <f>IF(TRIM(G23)&lt;&gt;"",COUNTA(G$11:$G23)&amp;"","")</f>
        <v>6</v>
      </c>
      <c r="B23" s="310" t="s">
        <v>629</v>
      </c>
      <c r="C23" s="310" t="s">
        <v>629</v>
      </c>
      <c r="D23" s="30"/>
      <c r="E23" s="52" t="s">
        <v>233</v>
      </c>
      <c r="F23" s="69">
        <v>783.83</v>
      </c>
      <c r="G23" s="70" t="s">
        <v>163</v>
      </c>
      <c r="H23" s="21">
        <f t="shared" si="23"/>
        <v>0</v>
      </c>
      <c r="I23" s="47">
        <f t="shared" si="24"/>
        <v>783.83</v>
      </c>
      <c r="J23" s="265">
        <f t="shared" si="25"/>
        <v>0</v>
      </c>
      <c r="K23" s="268">
        <f t="shared" si="26"/>
        <v>0</v>
      </c>
      <c r="L23" s="258">
        <f t="shared" si="27"/>
        <v>42</v>
      </c>
      <c r="M23" s="282">
        <v>0.03</v>
      </c>
      <c r="N23" s="22">
        <f t="shared" si="29"/>
        <v>23.514900000000001</v>
      </c>
      <c r="O23" s="268">
        <f t="shared" si="30"/>
        <v>987.62580000000003</v>
      </c>
      <c r="P23" s="23">
        <f t="shared" si="31"/>
        <v>1.26</v>
      </c>
      <c r="Q23" s="268">
        <f t="shared" si="32"/>
        <v>987.62580000000003</v>
      </c>
      <c r="R23" s="118"/>
    </row>
    <row r="24" spans="1:19" x14ac:dyDescent="0.35">
      <c r="A24" s="67" t="str">
        <f>IF(TRIM(G24)&lt;&gt;"",COUNTA(G$11:$G24)&amp;"","")</f>
        <v>7</v>
      </c>
      <c r="B24" s="311"/>
      <c r="C24" s="311"/>
      <c r="D24" s="30"/>
      <c r="E24" s="52" t="s">
        <v>234</v>
      </c>
      <c r="F24" s="69">
        <v>56.62</v>
      </c>
      <c r="G24" s="70" t="s">
        <v>163</v>
      </c>
      <c r="H24" s="21">
        <f t="shared" ref="H24:H25" si="33">IF(F24=0,"",0)</f>
        <v>0</v>
      </c>
      <c r="I24" s="47">
        <f t="shared" ref="I24:I25" si="34">IF(F24=0,"",F24+(F24*H24))</f>
        <v>56.62</v>
      </c>
      <c r="J24" s="265">
        <f t="shared" ref="J24:J25" si="35">IF(F24=0,"",0)</f>
        <v>0</v>
      </c>
      <c r="K24" s="268">
        <f t="shared" ref="K24:K25" si="36">IF(F24=0,"",J24*I24)</f>
        <v>0</v>
      </c>
      <c r="L24" s="258">
        <f t="shared" ref="L24:L25" si="37">IF(F24=0,"",L$21)</f>
        <v>42</v>
      </c>
      <c r="M24" s="282">
        <v>4.2000000000000003E-2</v>
      </c>
      <c r="N24" s="22">
        <f t="shared" ref="N24:N25" si="38">IF(F24=0,"",M24*I24)</f>
        <v>2.3780399999999999</v>
      </c>
      <c r="O24" s="268">
        <f t="shared" ref="O24:O25" si="39">IF(F24=0,"",N24*L24)</f>
        <v>99.877679999999998</v>
      </c>
      <c r="P24" s="23">
        <f t="shared" ref="P24:P25" si="40">IF(F24=0,"",(K24+O24)/I24)</f>
        <v>1.764</v>
      </c>
      <c r="Q24" s="268">
        <f t="shared" ref="Q24:Q25" si="41">IF(F24=0,"",(P24*I24))</f>
        <v>99.877679999999998</v>
      </c>
      <c r="R24" s="118"/>
    </row>
    <row r="25" spans="1:19" x14ac:dyDescent="0.35">
      <c r="A25" s="67" t="str">
        <f>IF(TRIM(G25)&lt;&gt;"",COUNTA(G$11:$G25)&amp;"","")</f>
        <v>8</v>
      </c>
      <c r="B25" s="312"/>
      <c r="C25" s="312"/>
      <c r="D25" s="30"/>
      <c r="E25" s="52" t="s">
        <v>235</v>
      </c>
      <c r="F25" s="69">
        <v>471.97</v>
      </c>
      <c r="G25" s="70" t="s">
        <v>163</v>
      </c>
      <c r="H25" s="21">
        <f t="shared" si="33"/>
        <v>0</v>
      </c>
      <c r="I25" s="47">
        <f t="shared" si="34"/>
        <v>471.97</v>
      </c>
      <c r="J25" s="265">
        <f t="shared" si="35"/>
        <v>0</v>
      </c>
      <c r="K25" s="268">
        <f t="shared" si="36"/>
        <v>0</v>
      </c>
      <c r="L25" s="258">
        <f t="shared" si="37"/>
        <v>42</v>
      </c>
      <c r="M25" s="282">
        <v>2.5000000000000001E-2</v>
      </c>
      <c r="N25" s="22">
        <f t="shared" si="38"/>
        <v>11.799250000000001</v>
      </c>
      <c r="O25" s="268">
        <f t="shared" si="39"/>
        <v>495.56850000000003</v>
      </c>
      <c r="P25" s="23">
        <f t="shared" si="40"/>
        <v>1.05</v>
      </c>
      <c r="Q25" s="268">
        <f t="shared" si="41"/>
        <v>495.56850000000003</v>
      </c>
      <c r="R25" s="118"/>
    </row>
    <row r="26" spans="1:19" ht="15" thickBot="1" x14ac:dyDescent="0.4">
      <c r="A26" s="67" t="str">
        <f>IF(TRIM(G26)&lt;&gt;"",COUNTA(G$11:$G26)&amp;"","")</f>
        <v/>
      </c>
      <c r="B26" s="68"/>
      <c r="C26" s="68"/>
      <c r="D26" s="30"/>
      <c r="E26" s="52"/>
      <c r="F26" s="69"/>
      <c r="G26" s="70"/>
      <c r="H26" s="21"/>
      <c r="I26" s="47"/>
      <c r="J26" s="265"/>
      <c r="K26" s="268"/>
      <c r="L26" s="258"/>
      <c r="M26" s="282"/>
      <c r="N26" s="22"/>
      <c r="O26" s="268"/>
      <c r="P26" s="23"/>
      <c r="Q26" s="268"/>
      <c r="R26" s="118"/>
    </row>
    <row r="27" spans="1:19" s="2" customFormat="1" ht="16" thickBot="1" x14ac:dyDescent="0.4">
      <c r="A27" s="82" t="str">
        <f>IF(TRIM(G27)&lt;&gt;"",COUNTA(G$11:$G27)&amp;"","")</f>
        <v/>
      </c>
      <c r="B27" s="1"/>
      <c r="C27" s="1"/>
      <c r="D27" s="19"/>
      <c r="E27" s="18"/>
      <c r="F27" s="167"/>
      <c r="G27" s="178"/>
      <c r="H27" s="83" t="s">
        <v>12</v>
      </c>
      <c r="I27" s="84"/>
      <c r="J27" s="85">
        <f>SUM(K$22:K$26)</f>
        <v>0</v>
      </c>
      <c r="K27" s="327" t="s">
        <v>13</v>
      </c>
      <c r="L27" s="328"/>
      <c r="M27" s="284">
        <f>SUM(O$22:O$26)</f>
        <v>1583.0719800000002</v>
      </c>
      <c r="N27" s="327" t="s">
        <v>42</v>
      </c>
      <c r="O27" s="328"/>
      <c r="P27" s="87">
        <f>SUM(N$22:N$26)</f>
        <v>37.692189999999997</v>
      </c>
      <c r="Q27" s="274" t="s">
        <v>205</v>
      </c>
      <c r="R27" s="86">
        <f>SUM(Q$22:Q$26)</f>
        <v>1583.0719800000002</v>
      </c>
    </row>
    <row r="28" spans="1:19" ht="25" customHeight="1" thickBot="1" x14ac:dyDescent="0.4">
      <c r="A28" s="169" t="str">
        <f>IF(TRIM(G28)&lt;&gt;"",COUNTA(G$11:$G28)&amp;"","")</f>
        <v/>
      </c>
      <c r="B28" s="170"/>
      <c r="C28" s="171" t="s">
        <v>144</v>
      </c>
      <c r="D28" s="180" t="s">
        <v>56</v>
      </c>
      <c r="E28" s="180" t="s">
        <v>57</v>
      </c>
      <c r="F28" s="181"/>
      <c r="G28" s="172"/>
      <c r="H28" s="170"/>
      <c r="I28" s="172"/>
      <c r="J28" s="263"/>
      <c r="K28" s="263"/>
      <c r="L28" s="257">
        <v>52</v>
      </c>
      <c r="M28" s="280"/>
      <c r="N28" s="170"/>
      <c r="O28" s="263"/>
      <c r="P28" s="170"/>
      <c r="Q28" s="263"/>
      <c r="R28" s="173"/>
    </row>
    <row r="29" spans="1:19" s="17" customFormat="1" ht="19.25" customHeight="1" x14ac:dyDescent="0.35">
      <c r="A29" s="67" t="str">
        <f>IF(TRIM(G29)&lt;&gt;"",COUNTA(G$11:$G29)&amp;"","")</f>
        <v/>
      </c>
      <c r="B29" s="29"/>
      <c r="C29" s="29"/>
      <c r="D29" s="193" t="s">
        <v>71</v>
      </c>
      <c r="E29" s="191" t="s">
        <v>70</v>
      </c>
      <c r="F29" s="69"/>
      <c r="G29" s="70"/>
      <c r="H29" s="21" t="str">
        <f t="shared" ref="H29:H200" si="42">IF(F29=0,"",0)</f>
        <v/>
      </c>
      <c r="I29" s="47" t="str">
        <f t="shared" ref="I29:I200" si="43">IF(F29=0,"",F29+(F29*H29))</f>
        <v/>
      </c>
      <c r="J29" s="265" t="str">
        <f t="shared" ref="J29:J200" si="44">IF(F29=0,"",0)</f>
        <v/>
      </c>
      <c r="K29" s="268" t="str">
        <f t="shared" ref="K29:K200" si="45">IF(F29=0,"",J29*I29)</f>
        <v/>
      </c>
      <c r="L29" s="258" t="str">
        <f>IF(F29=0,"",L$28)</f>
        <v/>
      </c>
      <c r="M29" s="282" t="str">
        <f t="shared" ref="M29:M200" si="46">IF(F29=0,"",0)</f>
        <v/>
      </c>
      <c r="N29" s="22" t="str">
        <f t="shared" ref="N29:N200" si="47">IF(F29=0,"",M29*I29)</f>
        <v/>
      </c>
      <c r="O29" s="268" t="str">
        <f t="shared" ref="O29:O200" si="48">IF(F29=0,"",N29*L29)</f>
        <v/>
      </c>
      <c r="P29" s="23" t="str">
        <f t="shared" ref="P29:P200" si="49">IF(F29=0,"",(K29+O29)/I29)</f>
        <v/>
      </c>
      <c r="Q29" s="268" t="str">
        <f t="shared" ref="Q29:Q200" si="50">IF(F29=0,"",(P29*I29))</f>
        <v/>
      </c>
      <c r="R29" s="120"/>
    </row>
    <row r="30" spans="1:19" x14ac:dyDescent="0.35">
      <c r="A30" s="67" t="str">
        <f>IF(TRIM(G30)&lt;&gt;"",COUNTA(G$11:$G30)&amp;"","")</f>
        <v/>
      </c>
      <c r="B30" s="68"/>
      <c r="C30" s="68"/>
      <c r="D30" s="30"/>
      <c r="E30" s="248" t="s">
        <v>602</v>
      </c>
      <c r="F30" s="69"/>
      <c r="G30" s="70"/>
      <c r="H30" s="21" t="str">
        <f t="shared" ref="H30" si="51">IF(F30=0,"",0)</f>
        <v/>
      </c>
      <c r="I30" s="47" t="str">
        <f t="shared" ref="I30:I119" si="52">IF(F30=0,"",F30+(F30*H30))</f>
        <v/>
      </c>
      <c r="J30" s="265" t="str">
        <f t="shared" ref="J30" si="53">IF(F30=0,"",0)</f>
        <v/>
      </c>
      <c r="K30" s="268" t="str">
        <f t="shared" ref="K30:K118" si="54">IF(F30=0,"",J30*I30)</f>
        <v/>
      </c>
      <c r="L30" s="258" t="str">
        <f t="shared" ref="L30:L118" si="55">IF(F30=0,"",L$28)</f>
        <v/>
      </c>
      <c r="M30" s="282" t="str">
        <f t="shared" ref="M30" si="56">IF(F30=0,"",0)</f>
        <v/>
      </c>
      <c r="N30" s="22" t="str">
        <f t="shared" ref="N30:N119" si="57">IF(F30=0,"",M30*I30)</f>
        <v/>
      </c>
      <c r="O30" s="268" t="str">
        <f t="shared" ref="O30:O119" si="58">IF(F30=0,"",N30*L30)</f>
        <v/>
      </c>
      <c r="P30" s="23" t="str">
        <f t="shared" ref="P30:P119" si="59">IF(F30=0,"",(K30+O30)/I30)</f>
        <v/>
      </c>
      <c r="Q30" s="268" t="str">
        <f t="shared" ref="Q30:Q119" si="60">IF(F30=0,"",(P30*I30))</f>
        <v/>
      </c>
      <c r="R30" s="118"/>
    </row>
    <row r="31" spans="1:19" ht="43.5" x14ac:dyDescent="0.35">
      <c r="A31" s="67" t="str">
        <f>IF(TRIM(G31)&lt;&gt;"",COUNTA(G$11:$G31)&amp;"","")</f>
        <v>9</v>
      </c>
      <c r="B31" s="310" t="s">
        <v>630</v>
      </c>
      <c r="C31" s="310" t="s">
        <v>631</v>
      </c>
      <c r="D31" s="30"/>
      <c r="E31" s="244" t="s">
        <v>236</v>
      </c>
      <c r="F31" s="239">
        <v>40.82</v>
      </c>
      <c r="G31" s="245" t="s">
        <v>177</v>
      </c>
      <c r="H31" s="21"/>
      <c r="I31" s="47"/>
      <c r="J31" s="265"/>
      <c r="K31" s="268"/>
      <c r="L31" s="258"/>
      <c r="M31" s="282"/>
      <c r="N31" s="22"/>
      <c r="O31" s="268"/>
      <c r="P31" s="23"/>
      <c r="Q31" s="268"/>
      <c r="R31" s="118"/>
    </row>
    <row r="32" spans="1:19" x14ac:dyDescent="0.35">
      <c r="A32" s="67" t="str">
        <f>IF(TRIM(G32)&lt;&gt;"",COUNTA(G$11:$G32)&amp;"","")</f>
        <v>10</v>
      </c>
      <c r="B32" s="311"/>
      <c r="C32" s="311"/>
      <c r="D32" s="30"/>
      <c r="E32" s="52" t="s">
        <v>237</v>
      </c>
      <c r="F32" s="69">
        <f>(F31*4*1)/27</f>
        <v>6.0474074074074071</v>
      </c>
      <c r="G32" s="70" t="s">
        <v>180</v>
      </c>
      <c r="H32" s="21">
        <v>0.1</v>
      </c>
      <c r="I32" s="47">
        <f t="shared" ref="I32" si="61">IF(F32=0,"",F32+(F32*H32))</f>
        <v>6.6521481481481484</v>
      </c>
      <c r="J32" s="265">
        <v>210</v>
      </c>
      <c r="K32" s="268">
        <f t="shared" ref="K32" si="62">IF(F32=0,"",J32*I32)</f>
        <v>1396.9511111111112</v>
      </c>
      <c r="L32" s="258">
        <f t="shared" ref="L32" si="63">IF(F32=0,"",L$28)</f>
        <v>52</v>
      </c>
      <c r="M32" s="282">
        <v>2.5</v>
      </c>
      <c r="N32" s="22">
        <f t="shared" ref="N32" si="64">IF(F32=0,"",M32*I32)</f>
        <v>16.630370370370372</v>
      </c>
      <c r="O32" s="268">
        <f t="shared" ref="O32" si="65">IF(F32=0,"",N32*L32)</f>
        <v>864.77925925925933</v>
      </c>
      <c r="P32" s="23">
        <f t="shared" ref="P32" si="66">IF(F32=0,"",(K32+O32)/I32)</f>
        <v>340</v>
      </c>
      <c r="Q32" s="268">
        <f t="shared" ref="Q32" si="67">IF(F32=0,"",(P32*I32))</f>
        <v>2261.7303703703706</v>
      </c>
      <c r="R32" s="118"/>
    </row>
    <row r="33" spans="1:18" x14ac:dyDescent="0.35">
      <c r="A33" s="67" t="str">
        <f>IF(TRIM(G33)&lt;&gt;"",COUNTA(G$11:$G33)&amp;"","")</f>
        <v>11</v>
      </c>
      <c r="B33" s="311"/>
      <c r="C33" s="311"/>
      <c r="D33" s="30"/>
      <c r="E33" s="52" t="s">
        <v>238</v>
      </c>
      <c r="F33" s="69">
        <f>(F31/0.83)*3.5*2*1.043</f>
        <v>359.0684578313253</v>
      </c>
      <c r="G33" s="70" t="s">
        <v>240</v>
      </c>
      <c r="H33" s="21">
        <v>0.1</v>
      </c>
      <c r="I33" s="47">
        <f t="shared" ref="I33:I104" si="68">IF(F33=0,"",F33+(F33*H33))</f>
        <v>394.97530361445786</v>
      </c>
      <c r="J33" s="265">
        <v>0.93</v>
      </c>
      <c r="K33" s="268">
        <f t="shared" ref="K33:K104" si="69">IF(F33=0,"",J33*I33)</f>
        <v>367.32703236144584</v>
      </c>
      <c r="L33" s="258">
        <f t="shared" ref="L33:L104" si="70">IF(F33=0,"",L$28)</f>
        <v>52</v>
      </c>
      <c r="M33" s="282">
        <v>0.01</v>
      </c>
      <c r="N33" s="22">
        <f t="shared" ref="N33:N104" si="71">IF(F33=0,"",M33*I33)</f>
        <v>3.9497530361445787</v>
      </c>
      <c r="O33" s="268">
        <f t="shared" ref="O33:O104" si="72">IF(F33=0,"",N33*L33)</f>
        <v>205.3871578795181</v>
      </c>
      <c r="P33" s="23">
        <f t="shared" ref="P33:P104" si="73">IF(F33=0,"",(K33+O33)/I33)</f>
        <v>1.4500000000000002</v>
      </c>
      <c r="Q33" s="268">
        <f t="shared" ref="Q33:Q104" si="74">IF(F33=0,"",(P33*I33))</f>
        <v>572.71419024096394</v>
      </c>
      <c r="R33" s="118"/>
    </row>
    <row r="34" spans="1:18" x14ac:dyDescent="0.35">
      <c r="A34" s="67" t="str">
        <f>IF(TRIM(G34)&lt;&gt;"",COUNTA(G$11:$G34)&amp;"","")</f>
        <v>12</v>
      </c>
      <c r="B34" s="311"/>
      <c r="C34" s="311"/>
      <c r="D34" s="30"/>
      <c r="E34" s="52" t="s">
        <v>239</v>
      </c>
      <c r="F34" s="69">
        <f>(F31*2)*0.668</f>
        <v>54.535520000000005</v>
      </c>
      <c r="G34" s="70" t="s">
        <v>240</v>
      </c>
      <c r="H34" s="21">
        <v>0.1</v>
      </c>
      <c r="I34" s="47">
        <f t="shared" si="68"/>
        <v>59.989072000000007</v>
      </c>
      <c r="J34" s="265">
        <v>0.93</v>
      </c>
      <c r="K34" s="268">
        <f t="shared" si="69"/>
        <v>55.789836960000009</v>
      </c>
      <c r="L34" s="258">
        <f t="shared" si="70"/>
        <v>52</v>
      </c>
      <c r="M34" s="282">
        <v>0.01</v>
      </c>
      <c r="N34" s="22">
        <f t="shared" si="71"/>
        <v>0.5998907200000001</v>
      </c>
      <c r="O34" s="268">
        <f t="shared" si="72"/>
        <v>31.194317440000006</v>
      </c>
      <c r="P34" s="23">
        <f t="shared" si="73"/>
        <v>1.4500000000000002</v>
      </c>
      <c r="Q34" s="268">
        <f t="shared" si="74"/>
        <v>86.984154400000023</v>
      </c>
      <c r="R34" s="118"/>
    </row>
    <row r="35" spans="1:18" x14ac:dyDescent="0.35">
      <c r="A35" s="67" t="str">
        <f>IF(TRIM(G35)&lt;&gt;"",COUNTA(G$11:$G35)&amp;"","")</f>
        <v>13</v>
      </c>
      <c r="B35" s="311"/>
      <c r="C35" s="311"/>
      <c r="D35" s="30"/>
      <c r="E35" s="52" t="s">
        <v>242</v>
      </c>
      <c r="F35" s="69">
        <f>(F31*1*2)</f>
        <v>81.64</v>
      </c>
      <c r="G35" s="70" t="s">
        <v>163</v>
      </c>
      <c r="H35" s="21">
        <v>0.1</v>
      </c>
      <c r="I35" s="47">
        <f t="shared" ref="I35" si="75">IF(F35=0,"",F35+(F35*H35))</f>
        <v>89.804000000000002</v>
      </c>
      <c r="J35" s="265">
        <f t="shared" ref="J35" si="76">IF(F35=0,"",0)</f>
        <v>0</v>
      </c>
      <c r="K35" s="268">
        <f t="shared" ref="K35" si="77">IF(F35=0,"",J35*I35)</f>
        <v>0</v>
      </c>
      <c r="L35" s="258">
        <f t="shared" ref="L35" si="78">IF(F35=0,"",L$28)</f>
        <v>52</v>
      </c>
      <c r="M35" s="282">
        <v>0.05</v>
      </c>
      <c r="N35" s="22">
        <f t="shared" ref="N35" si="79">IF(F35=0,"",M35*I35)</f>
        <v>4.4902000000000006</v>
      </c>
      <c r="O35" s="268">
        <f t="shared" ref="O35" si="80">IF(F35=0,"",N35*L35)</f>
        <v>233.49040000000002</v>
      </c>
      <c r="P35" s="23">
        <f t="shared" ref="P35" si="81">IF(F35=0,"",(K35+O35)/I35)</f>
        <v>2.6</v>
      </c>
      <c r="Q35" s="268">
        <f t="shared" ref="Q35" si="82">IF(F35=0,"",(P35*I35))</f>
        <v>233.49040000000002</v>
      </c>
      <c r="R35" s="118"/>
    </row>
    <row r="36" spans="1:18" x14ac:dyDescent="0.35">
      <c r="A36" s="67" t="str">
        <f>IF(TRIM(G36)&lt;&gt;"",COUNTA(G$11:$G36)&amp;"","")</f>
        <v>14</v>
      </c>
      <c r="B36" s="311"/>
      <c r="C36" s="311"/>
      <c r="D36" s="30"/>
      <c r="E36" s="52" t="s">
        <v>181</v>
      </c>
      <c r="F36" s="69">
        <f>(F31*5*1)/27</f>
        <v>7.5592592592592593</v>
      </c>
      <c r="G36" s="70" t="s">
        <v>180</v>
      </c>
      <c r="H36" s="21">
        <v>0.1</v>
      </c>
      <c r="I36" s="47">
        <f t="shared" ref="I36:I37" si="83">IF(F36=0,"",F36+(F36*H36))</f>
        <v>8.3151851851851859</v>
      </c>
      <c r="J36" s="265">
        <f t="shared" ref="J36:J37" si="84">IF(F36=0,"",0)</f>
        <v>0</v>
      </c>
      <c r="K36" s="268">
        <f t="shared" ref="K36:K37" si="85">IF(F36=0,"",J36*I36)</f>
        <v>0</v>
      </c>
      <c r="L36" s="258">
        <f t="shared" ref="L36:L37" si="86">IF(F36=0,"",L$28)</f>
        <v>52</v>
      </c>
      <c r="M36" s="282">
        <v>0.38500000000000001</v>
      </c>
      <c r="N36" s="22">
        <f t="shared" ref="N36:N37" si="87">IF(F36=0,"",M36*I36)</f>
        <v>3.2013462962962969</v>
      </c>
      <c r="O36" s="268">
        <f t="shared" ref="O36:O37" si="88">IF(F36=0,"",N36*L36)</f>
        <v>166.47000740740742</v>
      </c>
      <c r="P36" s="23">
        <f t="shared" ref="P36:P37" si="89">IF(F36=0,"",(K36+O36)/I36)</f>
        <v>20.02</v>
      </c>
      <c r="Q36" s="268">
        <f t="shared" ref="Q36:Q37" si="90">IF(F36=0,"",(P36*I36))</f>
        <v>166.47000740740742</v>
      </c>
      <c r="R36" s="118"/>
    </row>
    <row r="37" spans="1:18" x14ac:dyDescent="0.35">
      <c r="A37" s="67" t="str">
        <f>IF(TRIM(G37)&lt;&gt;"",COUNTA(G$11:$G37)&amp;"","")</f>
        <v>15</v>
      </c>
      <c r="B37" s="311"/>
      <c r="C37" s="311"/>
      <c r="D37" s="30"/>
      <c r="E37" s="52" t="s">
        <v>182</v>
      </c>
      <c r="F37" s="69">
        <f>(F36-F32)*1.1</f>
        <v>1.6630370370370375</v>
      </c>
      <c r="G37" s="70" t="s">
        <v>180</v>
      </c>
      <c r="H37" s="21">
        <v>0.1</v>
      </c>
      <c r="I37" s="47">
        <f t="shared" si="83"/>
        <v>1.8293407407407414</v>
      </c>
      <c r="J37" s="265">
        <f t="shared" si="84"/>
        <v>0</v>
      </c>
      <c r="K37" s="268">
        <f t="shared" si="85"/>
        <v>0</v>
      </c>
      <c r="L37" s="258">
        <f t="shared" si="86"/>
        <v>52</v>
      </c>
      <c r="M37" s="282">
        <v>0.28499999999999998</v>
      </c>
      <c r="N37" s="22">
        <f t="shared" si="87"/>
        <v>0.52136211111111119</v>
      </c>
      <c r="O37" s="268">
        <f t="shared" si="88"/>
        <v>27.110829777777781</v>
      </c>
      <c r="P37" s="23">
        <f t="shared" si="89"/>
        <v>14.819999999999997</v>
      </c>
      <c r="Q37" s="268">
        <f t="shared" si="90"/>
        <v>27.110829777777781</v>
      </c>
      <c r="R37" s="118"/>
    </row>
    <row r="38" spans="1:18" x14ac:dyDescent="0.35">
      <c r="A38" s="67" t="str">
        <f>IF(TRIM(G38)&lt;&gt;"",COUNTA(G$11:$G38)&amp;"","")</f>
        <v/>
      </c>
      <c r="B38" s="311"/>
      <c r="C38" s="311"/>
      <c r="D38" s="30"/>
      <c r="E38" s="52"/>
      <c r="F38" s="69"/>
      <c r="G38" s="70"/>
      <c r="H38" s="21" t="str">
        <f t="shared" ref="H38:H43" si="91">IF(F38=0,"",0)</f>
        <v/>
      </c>
      <c r="I38" s="47" t="str">
        <f t="shared" si="68"/>
        <v/>
      </c>
      <c r="J38" s="265" t="str">
        <f t="shared" ref="J38:J104" si="92">IF(F38=0,"",0)</f>
        <v/>
      </c>
      <c r="K38" s="268" t="str">
        <f t="shared" si="69"/>
        <v/>
      </c>
      <c r="L38" s="258" t="str">
        <f t="shared" si="70"/>
        <v/>
      </c>
      <c r="M38" s="282" t="str">
        <f t="shared" ref="M38:M104" si="93">IF(F38=0,"",0)</f>
        <v/>
      </c>
      <c r="N38" s="22" t="str">
        <f t="shared" si="71"/>
        <v/>
      </c>
      <c r="O38" s="268" t="str">
        <f t="shared" si="72"/>
        <v/>
      </c>
      <c r="P38" s="23" t="str">
        <f t="shared" si="73"/>
        <v/>
      </c>
      <c r="Q38" s="268" t="str">
        <f t="shared" si="74"/>
        <v/>
      </c>
      <c r="R38" s="118"/>
    </row>
    <row r="39" spans="1:18" x14ac:dyDescent="0.35">
      <c r="A39" s="67" t="str">
        <f>IF(TRIM(G39)&lt;&gt;"",COUNTA(G$11:$G39)&amp;"","")</f>
        <v/>
      </c>
      <c r="B39" s="311"/>
      <c r="C39" s="311"/>
      <c r="D39" s="30"/>
      <c r="E39" s="244" t="s">
        <v>576</v>
      </c>
      <c r="F39" s="69"/>
      <c r="G39" s="70"/>
      <c r="H39" s="21"/>
      <c r="I39" s="47"/>
      <c r="J39" s="265"/>
      <c r="K39" s="268"/>
      <c r="L39" s="258"/>
      <c r="M39" s="282"/>
      <c r="N39" s="22"/>
      <c r="O39" s="268"/>
      <c r="P39" s="23"/>
      <c r="Q39" s="268"/>
      <c r="R39" s="118"/>
    </row>
    <row r="40" spans="1:18" ht="29" x14ac:dyDescent="0.35">
      <c r="A40" s="67" t="str">
        <f>IF(TRIM(G40)&lt;&gt;"",COUNTA(G$11:$G40)&amp;"","")</f>
        <v>16</v>
      </c>
      <c r="B40" s="311"/>
      <c r="C40" s="311"/>
      <c r="D40" s="30"/>
      <c r="E40" s="244" t="s">
        <v>241</v>
      </c>
      <c r="F40" s="239">
        <v>8.83</v>
      </c>
      <c r="G40" s="245" t="s">
        <v>177</v>
      </c>
      <c r="H40" s="21"/>
      <c r="I40" s="47"/>
      <c r="J40" s="265"/>
      <c r="K40" s="268"/>
      <c r="L40" s="258"/>
      <c r="M40" s="282"/>
      <c r="N40" s="22"/>
      <c r="O40" s="268"/>
      <c r="P40" s="23"/>
      <c r="Q40" s="268"/>
      <c r="R40" s="118"/>
    </row>
    <row r="41" spans="1:18" x14ac:dyDescent="0.35">
      <c r="A41" s="67" t="str">
        <f>IF(TRIM(G41)&lt;&gt;"",COUNTA(G$11:$G41)&amp;"","")</f>
        <v>17</v>
      </c>
      <c r="B41" s="311"/>
      <c r="C41" s="311"/>
      <c r="D41" s="30"/>
      <c r="E41" s="52" t="s">
        <v>237</v>
      </c>
      <c r="F41" s="246">
        <f>(F40*1.38)/27</f>
        <v>0.45131111111111111</v>
      </c>
      <c r="G41" s="70" t="s">
        <v>180</v>
      </c>
      <c r="H41" s="21">
        <v>0.1</v>
      </c>
      <c r="I41" s="47">
        <f t="shared" si="68"/>
        <v>0.49644222222222223</v>
      </c>
      <c r="J41" s="265">
        <v>210</v>
      </c>
      <c r="K41" s="268">
        <f t="shared" ref="K41:K42" si="94">IF(F41=0,"",J41*I41)</f>
        <v>104.25286666666666</v>
      </c>
      <c r="L41" s="258">
        <f t="shared" ref="L41:L42" si="95">IF(F41=0,"",L$28)</f>
        <v>52</v>
      </c>
      <c r="M41" s="282">
        <v>2.5</v>
      </c>
      <c r="N41" s="22">
        <f t="shared" si="71"/>
        <v>1.2411055555555555</v>
      </c>
      <c r="O41" s="268">
        <f t="shared" si="72"/>
        <v>64.537488888888888</v>
      </c>
      <c r="P41" s="23">
        <f t="shared" si="73"/>
        <v>340</v>
      </c>
      <c r="Q41" s="268">
        <f t="shared" si="74"/>
        <v>168.79035555555555</v>
      </c>
      <c r="R41" s="118"/>
    </row>
    <row r="42" spans="1:18" x14ac:dyDescent="0.35">
      <c r="A42" s="67" t="str">
        <f>IF(TRIM(G42)&lt;&gt;"",COUNTA(G$11:$G42)&amp;"","")</f>
        <v>18</v>
      </c>
      <c r="B42" s="311"/>
      <c r="C42" s="311"/>
      <c r="D42" s="30"/>
      <c r="E42" s="52" t="s">
        <v>243</v>
      </c>
      <c r="F42" s="69">
        <f>(F40*1.043)*2</f>
        <v>18.41938</v>
      </c>
      <c r="G42" s="70" t="s">
        <v>240</v>
      </c>
      <c r="H42" s="21">
        <v>0.1</v>
      </c>
      <c r="I42" s="47">
        <f t="shared" si="68"/>
        <v>20.261317999999999</v>
      </c>
      <c r="J42" s="265">
        <v>0.93</v>
      </c>
      <c r="K42" s="268">
        <f t="shared" si="94"/>
        <v>18.843025740000002</v>
      </c>
      <c r="L42" s="258">
        <f t="shared" si="95"/>
        <v>52</v>
      </c>
      <c r="M42" s="282">
        <v>0.01</v>
      </c>
      <c r="N42" s="22">
        <f t="shared" si="71"/>
        <v>0.20261318</v>
      </c>
      <c r="O42" s="268">
        <f t="shared" si="72"/>
        <v>10.53588536</v>
      </c>
      <c r="P42" s="23">
        <f t="shared" si="73"/>
        <v>1.4500000000000002</v>
      </c>
      <c r="Q42" s="268">
        <f t="shared" si="74"/>
        <v>29.378911100000003</v>
      </c>
      <c r="R42" s="118"/>
    </row>
    <row r="43" spans="1:18" x14ac:dyDescent="0.35">
      <c r="A43" s="67" t="str">
        <f>IF(TRIM(G43)&lt;&gt;"",COUNTA(G$11:$G43)&amp;"","")</f>
        <v/>
      </c>
      <c r="B43" s="311"/>
      <c r="C43" s="311"/>
      <c r="D43" s="30"/>
      <c r="E43" s="52"/>
      <c r="F43" s="69"/>
      <c r="G43" s="70"/>
      <c r="H43" s="21" t="str">
        <f t="shared" si="91"/>
        <v/>
      </c>
      <c r="I43" s="47" t="str">
        <f t="shared" si="68"/>
        <v/>
      </c>
      <c r="J43" s="265" t="str">
        <f t="shared" si="92"/>
        <v/>
      </c>
      <c r="K43" s="268" t="str">
        <f t="shared" si="69"/>
        <v/>
      </c>
      <c r="L43" s="258" t="str">
        <f t="shared" si="70"/>
        <v/>
      </c>
      <c r="M43" s="282" t="str">
        <f t="shared" si="93"/>
        <v/>
      </c>
      <c r="N43" s="22" t="str">
        <f t="shared" si="71"/>
        <v/>
      </c>
      <c r="O43" s="268" t="str">
        <f t="shared" si="72"/>
        <v/>
      </c>
      <c r="P43" s="23" t="str">
        <f t="shared" si="73"/>
        <v/>
      </c>
      <c r="Q43" s="268" t="str">
        <f t="shared" si="74"/>
        <v/>
      </c>
      <c r="R43" s="118"/>
    </row>
    <row r="44" spans="1:18" ht="43.5" x14ac:dyDescent="0.35">
      <c r="A44" s="67" t="str">
        <f>IF(TRIM(G44)&lt;&gt;"",COUNTA(G$11:$G44)&amp;"","")</f>
        <v>19</v>
      </c>
      <c r="B44" s="311"/>
      <c r="C44" s="311"/>
      <c r="D44" s="30"/>
      <c r="E44" s="244" t="s">
        <v>244</v>
      </c>
      <c r="F44" s="239">
        <v>3.76</v>
      </c>
      <c r="G44" s="245" t="s">
        <v>177</v>
      </c>
      <c r="H44" s="21"/>
      <c r="I44" s="47"/>
      <c r="J44" s="265"/>
      <c r="K44" s="268"/>
      <c r="L44" s="258"/>
      <c r="M44" s="282"/>
      <c r="N44" s="22"/>
      <c r="O44" s="268"/>
      <c r="P44" s="23"/>
      <c r="Q44" s="268"/>
      <c r="R44" s="118"/>
    </row>
    <row r="45" spans="1:18" x14ac:dyDescent="0.35">
      <c r="A45" s="67" t="str">
        <f>IF(TRIM(G45)&lt;&gt;"",COUNTA(G$11:$G45)&amp;"","")</f>
        <v>20</v>
      </c>
      <c r="B45" s="311"/>
      <c r="C45" s="311"/>
      <c r="D45" s="30"/>
      <c r="E45" s="52" t="s">
        <v>237</v>
      </c>
      <c r="F45" s="246">
        <f>(F44*2*1)/27</f>
        <v>0.2785185185185185</v>
      </c>
      <c r="G45" s="70" t="s">
        <v>180</v>
      </c>
      <c r="H45" s="21">
        <v>0.1</v>
      </c>
      <c r="I45" s="47">
        <f t="shared" si="68"/>
        <v>0.30637037037037035</v>
      </c>
      <c r="J45" s="265">
        <v>210</v>
      </c>
      <c r="K45" s="268">
        <f t="shared" ref="K45:K50" si="96">IF(F45=0,"",J45*I45)</f>
        <v>64.337777777777774</v>
      </c>
      <c r="L45" s="258">
        <f t="shared" ref="L45:L50" si="97">IF(F45=0,"",L$28)</f>
        <v>52</v>
      </c>
      <c r="M45" s="282">
        <v>2.5</v>
      </c>
      <c r="N45" s="22">
        <f t="shared" si="71"/>
        <v>0.7659259259259259</v>
      </c>
      <c r="O45" s="268">
        <f t="shared" si="72"/>
        <v>39.828148148148145</v>
      </c>
      <c r="P45" s="23">
        <f t="shared" si="73"/>
        <v>340</v>
      </c>
      <c r="Q45" s="268">
        <f t="shared" si="74"/>
        <v>104.16592592592592</v>
      </c>
      <c r="R45" s="118"/>
    </row>
    <row r="46" spans="1:18" x14ac:dyDescent="0.35">
      <c r="A46" s="67" t="str">
        <f>IF(TRIM(G46)&lt;&gt;"",COUNTA(G$11:$G46)&amp;"","")</f>
        <v>21</v>
      </c>
      <c r="B46" s="311"/>
      <c r="C46" s="311"/>
      <c r="D46" s="30"/>
      <c r="E46" s="52" t="s">
        <v>245</v>
      </c>
      <c r="F46" s="69">
        <f>(F44/1)*1.043</f>
        <v>3.9216799999999994</v>
      </c>
      <c r="G46" s="70" t="s">
        <v>240</v>
      </c>
      <c r="H46" s="21">
        <v>0.1</v>
      </c>
      <c r="I46" s="47">
        <f t="shared" ref="I46:I47" si="98">IF(F46=0,"",F46+(F46*H46))</f>
        <v>4.3138479999999992</v>
      </c>
      <c r="J46" s="265">
        <v>0.93</v>
      </c>
      <c r="K46" s="268">
        <f t="shared" si="96"/>
        <v>4.0118786399999999</v>
      </c>
      <c r="L46" s="258">
        <f t="shared" si="97"/>
        <v>52</v>
      </c>
      <c r="M46" s="282">
        <v>0.01</v>
      </c>
      <c r="N46" s="22">
        <f t="shared" ref="N46:N47" si="99">IF(F46=0,"",M46*I46)</f>
        <v>4.3138479999999993E-2</v>
      </c>
      <c r="O46" s="268">
        <f t="shared" ref="O46:O47" si="100">IF(F46=0,"",N46*L46)</f>
        <v>2.2432009599999998</v>
      </c>
      <c r="P46" s="23">
        <f t="shared" ref="P46:P47" si="101">IF(F46=0,"",(K46+O46)/I46)</f>
        <v>1.4500000000000004</v>
      </c>
      <c r="Q46" s="268">
        <f t="shared" ref="Q46:Q47" si="102">IF(F46=0,"",(P46*I46))</f>
        <v>6.2550796000000002</v>
      </c>
      <c r="R46" s="118"/>
    </row>
    <row r="47" spans="1:18" x14ac:dyDescent="0.35">
      <c r="A47" s="67" t="str">
        <f>IF(TRIM(G47)&lt;&gt;"",COUNTA(G$11:$G47)&amp;"","")</f>
        <v>22</v>
      </c>
      <c r="B47" s="311"/>
      <c r="C47" s="311"/>
      <c r="D47" s="30"/>
      <c r="E47" s="52" t="s">
        <v>246</v>
      </c>
      <c r="F47" s="69">
        <f>F44*0.668</f>
        <v>2.5116800000000001</v>
      </c>
      <c r="G47" s="70" t="s">
        <v>240</v>
      </c>
      <c r="H47" s="21">
        <v>0.1</v>
      </c>
      <c r="I47" s="47">
        <f t="shared" si="98"/>
        <v>2.762848</v>
      </c>
      <c r="J47" s="265">
        <v>0.93</v>
      </c>
      <c r="K47" s="268">
        <f t="shared" si="96"/>
        <v>2.5694486400000001</v>
      </c>
      <c r="L47" s="258">
        <f t="shared" si="97"/>
        <v>52</v>
      </c>
      <c r="M47" s="282">
        <v>0.01</v>
      </c>
      <c r="N47" s="22">
        <f t="shared" si="99"/>
        <v>2.762848E-2</v>
      </c>
      <c r="O47" s="268">
        <f t="shared" si="100"/>
        <v>1.4366809600000001</v>
      </c>
      <c r="P47" s="23">
        <f t="shared" si="101"/>
        <v>1.4500000000000002</v>
      </c>
      <c r="Q47" s="268">
        <f t="shared" si="102"/>
        <v>4.0061296000000004</v>
      </c>
      <c r="R47" s="118"/>
    </row>
    <row r="48" spans="1:18" x14ac:dyDescent="0.35">
      <c r="A48" s="67" t="str">
        <f>IF(TRIM(G48)&lt;&gt;"",COUNTA(G$11:$G48)&amp;"","")</f>
        <v>23</v>
      </c>
      <c r="B48" s="311"/>
      <c r="C48" s="311"/>
      <c r="D48" s="30"/>
      <c r="E48" s="52" t="s">
        <v>242</v>
      </c>
      <c r="F48" s="69">
        <f>(F44*1)*2</f>
        <v>7.52</v>
      </c>
      <c r="G48" s="70" t="s">
        <v>163</v>
      </c>
      <c r="H48" s="21">
        <v>0.1</v>
      </c>
      <c r="I48" s="47">
        <f t="shared" si="68"/>
        <v>8.2720000000000002</v>
      </c>
      <c r="J48" s="265">
        <f t="shared" ref="J48:J50" si="103">IF(F48=0,"",0)</f>
        <v>0</v>
      </c>
      <c r="K48" s="268">
        <f t="shared" si="96"/>
        <v>0</v>
      </c>
      <c r="L48" s="258">
        <f t="shared" si="97"/>
        <v>52</v>
      </c>
      <c r="M48" s="282">
        <v>0.05</v>
      </c>
      <c r="N48" s="22">
        <f t="shared" si="71"/>
        <v>0.41360000000000002</v>
      </c>
      <c r="O48" s="268">
        <f t="shared" si="72"/>
        <v>21.507200000000001</v>
      </c>
      <c r="P48" s="23">
        <f t="shared" si="73"/>
        <v>2.6</v>
      </c>
      <c r="Q48" s="268">
        <f t="shared" si="74"/>
        <v>21.507200000000001</v>
      </c>
      <c r="R48" s="118"/>
    </row>
    <row r="49" spans="1:18" x14ac:dyDescent="0.35">
      <c r="A49" s="67" t="str">
        <f>IF(TRIM(G49)&lt;&gt;"",COUNTA(G$11:$G49)&amp;"","")</f>
        <v>24</v>
      </c>
      <c r="B49" s="311"/>
      <c r="C49" s="311"/>
      <c r="D49" s="30"/>
      <c r="E49" s="52" t="s">
        <v>181</v>
      </c>
      <c r="F49" s="246">
        <f>(F44*3*1)/27</f>
        <v>0.41777777777777775</v>
      </c>
      <c r="G49" s="70" t="s">
        <v>180</v>
      </c>
      <c r="H49" s="21">
        <v>0.1</v>
      </c>
      <c r="I49" s="47">
        <f t="shared" si="68"/>
        <v>0.45955555555555549</v>
      </c>
      <c r="J49" s="265">
        <f t="shared" si="103"/>
        <v>0</v>
      </c>
      <c r="K49" s="268">
        <f t="shared" si="96"/>
        <v>0</v>
      </c>
      <c r="L49" s="258">
        <f t="shared" si="97"/>
        <v>52</v>
      </c>
      <c r="M49" s="282">
        <v>0.38500000000000001</v>
      </c>
      <c r="N49" s="22">
        <f t="shared" si="71"/>
        <v>0.17692888888888886</v>
      </c>
      <c r="O49" s="268">
        <f t="shared" si="72"/>
        <v>9.2003022222222199</v>
      </c>
      <c r="P49" s="23">
        <f t="shared" si="73"/>
        <v>20.019999999999996</v>
      </c>
      <c r="Q49" s="268">
        <f t="shared" si="74"/>
        <v>9.2003022222222199</v>
      </c>
      <c r="R49" s="118"/>
    </row>
    <row r="50" spans="1:18" x14ac:dyDescent="0.35">
      <c r="A50" s="67" t="str">
        <f>IF(TRIM(G50)&lt;&gt;"",COUNTA(G$11:$G50)&amp;"","")</f>
        <v>25</v>
      </c>
      <c r="B50" s="311"/>
      <c r="C50" s="311"/>
      <c r="D50" s="30"/>
      <c r="E50" s="52" t="s">
        <v>182</v>
      </c>
      <c r="F50" s="246">
        <f>(F49-F45)*1.1</f>
        <v>0.15318518518518517</v>
      </c>
      <c r="G50" s="70" t="s">
        <v>180</v>
      </c>
      <c r="H50" s="21">
        <v>0.1</v>
      </c>
      <c r="I50" s="47">
        <f t="shared" si="68"/>
        <v>0.16850370370370368</v>
      </c>
      <c r="J50" s="265">
        <f t="shared" si="103"/>
        <v>0</v>
      </c>
      <c r="K50" s="268">
        <f t="shared" si="96"/>
        <v>0</v>
      </c>
      <c r="L50" s="258">
        <f t="shared" si="97"/>
        <v>52</v>
      </c>
      <c r="M50" s="282">
        <v>0.28499999999999998</v>
      </c>
      <c r="N50" s="22">
        <f t="shared" si="71"/>
        <v>4.8023555555555549E-2</v>
      </c>
      <c r="O50" s="268">
        <f t="shared" si="72"/>
        <v>2.4972248888888884</v>
      </c>
      <c r="P50" s="23">
        <f t="shared" si="73"/>
        <v>14.819999999999999</v>
      </c>
      <c r="Q50" s="268">
        <f t="shared" si="74"/>
        <v>2.4972248888888884</v>
      </c>
      <c r="R50" s="118"/>
    </row>
    <row r="51" spans="1:18" x14ac:dyDescent="0.35">
      <c r="A51" s="67" t="str">
        <f>IF(TRIM(G51)&lt;&gt;"",COUNTA(G$11:$G51)&amp;"","")</f>
        <v/>
      </c>
      <c r="B51" s="311"/>
      <c r="C51" s="311"/>
      <c r="D51" s="30"/>
      <c r="E51" s="52"/>
      <c r="F51" s="69"/>
      <c r="G51" s="70"/>
      <c r="H51" s="21" t="str">
        <f t="shared" ref="H51:H67" si="104">IF(F51=0,"",0)</f>
        <v/>
      </c>
      <c r="I51" s="47" t="str">
        <f t="shared" ref="I51:I90" si="105">IF(F51=0,"",F51+(F51*H51))</f>
        <v/>
      </c>
      <c r="J51" s="265" t="str">
        <f t="shared" ref="J51:J67" si="106">IF(F51=0,"",0)</f>
        <v/>
      </c>
      <c r="K51" s="268" t="str">
        <f t="shared" ref="K51:K67" si="107">IF(F51=0,"",J51*I51)</f>
        <v/>
      </c>
      <c r="L51" s="258" t="str">
        <f t="shared" ref="L51:L67" si="108">IF(F51=0,"",L$28)</f>
        <v/>
      </c>
      <c r="M51" s="282" t="str">
        <f t="shared" ref="M51:M67" si="109">IF(F51=0,"",0)</f>
        <v/>
      </c>
      <c r="N51" s="22" t="str">
        <f t="shared" ref="N51:N90" si="110">IF(F51=0,"",M51*I51)</f>
        <v/>
      </c>
      <c r="O51" s="268" t="str">
        <f t="shared" ref="O51:O90" si="111">IF(F51=0,"",N51*L51)</f>
        <v/>
      </c>
      <c r="P51" s="23" t="str">
        <f t="shared" ref="P51:P90" si="112">IF(F51=0,"",(K51+O51)/I51)</f>
        <v/>
      </c>
      <c r="Q51" s="268" t="str">
        <f t="shared" ref="Q51:Q90" si="113">IF(F51=0,"",(P51*I51))</f>
        <v/>
      </c>
      <c r="R51" s="118"/>
    </row>
    <row r="52" spans="1:18" ht="43.5" x14ac:dyDescent="0.35">
      <c r="A52" s="67" t="str">
        <f>IF(TRIM(G52)&lt;&gt;"",COUNTA(G$11:$G52)&amp;"","")</f>
        <v>26</v>
      </c>
      <c r="B52" s="311"/>
      <c r="C52" s="311"/>
      <c r="D52" s="30"/>
      <c r="E52" s="244" t="s">
        <v>247</v>
      </c>
      <c r="F52" s="239">
        <v>7.35</v>
      </c>
      <c r="G52" s="245" t="s">
        <v>177</v>
      </c>
      <c r="H52" s="21"/>
      <c r="I52" s="47"/>
      <c r="J52" s="265"/>
      <c r="K52" s="268"/>
      <c r="L52" s="258"/>
      <c r="M52" s="282"/>
      <c r="N52" s="22"/>
      <c r="O52" s="268"/>
      <c r="P52" s="23"/>
      <c r="Q52" s="268"/>
      <c r="R52" s="118"/>
    </row>
    <row r="53" spans="1:18" x14ac:dyDescent="0.35">
      <c r="A53" s="67" t="str">
        <f>IF(TRIM(G53)&lt;&gt;"",COUNTA(G$11:$G53)&amp;"","")</f>
        <v>27</v>
      </c>
      <c r="B53" s="311"/>
      <c r="C53" s="311"/>
      <c r="D53" s="30"/>
      <c r="E53" s="52" t="s">
        <v>237</v>
      </c>
      <c r="F53" s="69">
        <f>(F52*2.5*1)/27</f>
        <v>0.68055555555555558</v>
      </c>
      <c r="G53" s="70" t="s">
        <v>180</v>
      </c>
      <c r="H53" s="21">
        <v>0.1</v>
      </c>
      <c r="I53" s="47">
        <f t="shared" si="105"/>
        <v>0.74861111111111112</v>
      </c>
      <c r="J53" s="265">
        <v>210</v>
      </c>
      <c r="K53" s="268">
        <f t="shared" ref="K53:K58" si="114">IF(F53=0,"",J53*I53)</f>
        <v>157.20833333333334</v>
      </c>
      <c r="L53" s="258">
        <f t="shared" ref="L53:L58" si="115">IF(F53=0,"",L$28)</f>
        <v>52</v>
      </c>
      <c r="M53" s="282">
        <v>2.5</v>
      </c>
      <c r="N53" s="22">
        <f t="shared" si="110"/>
        <v>1.8715277777777777</v>
      </c>
      <c r="O53" s="268">
        <f t="shared" si="111"/>
        <v>97.319444444444443</v>
      </c>
      <c r="P53" s="23">
        <f t="shared" si="112"/>
        <v>340</v>
      </c>
      <c r="Q53" s="268">
        <f t="shared" si="113"/>
        <v>254.52777777777777</v>
      </c>
      <c r="R53" s="118"/>
    </row>
    <row r="54" spans="1:18" x14ac:dyDescent="0.35">
      <c r="A54" s="67" t="str">
        <f>IF(TRIM(G54)&lt;&gt;"",COUNTA(G$11:$G54)&amp;"","")</f>
        <v>28</v>
      </c>
      <c r="B54" s="311"/>
      <c r="C54" s="311"/>
      <c r="D54" s="30"/>
      <c r="E54" s="52" t="s">
        <v>245</v>
      </c>
      <c r="F54" s="69">
        <f>(F52/1)*1.043</f>
        <v>7.6660499999999994</v>
      </c>
      <c r="G54" s="70" t="s">
        <v>240</v>
      </c>
      <c r="H54" s="21">
        <v>0.1</v>
      </c>
      <c r="I54" s="47">
        <f t="shared" si="105"/>
        <v>8.4326549999999987</v>
      </c>
      <c r="J54" s="265">
        <v>0.93</v>
      </c>
      <c r="K54" s="268">
        <f t="shared" si="114"/>
        <v>7.8423691499999988</v>
      </c>
      <c r="L54" s="258">
        <f t="shared" si="115"/>
        <v>52</v>
      </c>
      <c r="M54" s="282">
        <v>0.01</v>
      </c>
      <c r="N54" s="22">
        <f t="shared" si="110"/>
        <v>8.4326549999999986E-2</v>
      </c>
      <c r="O54" s="268">
        <f t="shared" si="111"/>
        <v>4.3849805999999996</v>
      </c>
      <c r="P54" s="23">
        <f t="shared" si="112"/>
        <v>1.45</v>
      </c>
      <c r="Q54" s="268">
        <f t="shared" si="113"/>
        <v>12.227349749999998</v>
      </c>
      <c r="R54" s="118"/>
    </row>
    <row r="55" spans="1:18" x14ac:dyDescent="0.35">
      <c r="A55" s="67" t="str">
        <f>IF(TRIM(G55)&lt;&gt;"",COUNTA(G$11:$G55)&amp;"","")</f>
        <v>29</v>
      </c>
      <c r="B55" s="311"/>
      <c r="C55" s="311"/>
      <c r="D55" s="30"/>
      <c r="E55" s="52" t="s">
        <v>246</v>
      </c>
      <c r="F55" s="69">
        <f>(F52*0.668)</f>
        <v>4.9097999999999997</v>
      </c>
      <c r="G55" s="70" t="s">
        <v>240</v>
      </c>
      <c r="H55" s="21">
        <v>0.1</v>
      </c>
      <c r="I55" s="47">
        <f t="shared" si="105"/>
        <v>5.4007799999999992</v>
      </c>
      <c r="J55" s="265">
        <v>0.93</v>
      </c>
      <c r="K55" s="268">
        <f t="shared" si="114"/>
        <v>5.0227253999999997</v>
      </c>
      <c r="L55" s="258">
        <f t="shared" si="115"/>
        <v>52</v>
      </c>
      <c r="M55" s="282">
        <v>0.01</v>
      </c>
      <c r="N55" s="22">
        <f t="shared" si="110"/>
        <v>5.4007799999999995E-2</v>
      </c>
      <c r="O55" s="268">
        <f t="shared" si="111"/>
        <v>2.8084055999999995</v>
      </c>
      <c r="P55" s="23">
        <f t="shared" si="112"/>
        <v>1.45</v>
      </c>
      <c r="Q55" s="268">
        <f t="shared" si="113"/>
        <v>7.8311309999999983</v>
      </c>
      <c r="R55" s="118"/>
    </row>
    <row r="56" spans="1:18" x14ac:dyDescent="0.35">
      <c r="A56" s="67" t="str">
        <f>IF(TRIM(G56)&lt;&gt;"",COUNTA(G$11:$G56)&amp;"","")</f>
        <v>30</v>
      </c>
      <c r="B56" s="311"/>
      <c r="C56" s="311"/>
      <c r="D56" s="30"/>
      <c r="E56" s="52" t="s">
        <v>242</v>
      </c>
      <c r="F56" s="69">
        <f>(F52*1)*2</f>
        <v>14.7</v>
      </c>
      <c r="G56" s="70" t="s">
        <v>163</v>
      </c>
      <c r="H56" s="21">
        <f t="shared" si="104"/>
        <v>0</v>
      </c>
      <c r="I56" s="47">
        <f t="shared" si="105"/>
        <v>14.7</v>
      </c>
      <c r="J56" s="265">
        <f t="shared" ref="J56:J58" si="116">IF(F56=0,"",0)</f>
        <v>0</v>
      </c>
      <c r="K56" s="268">
        <f t="shared" si="114"/>
        <v>0</v>
      </c>
      <c r="L56" s="258">
        <f t="shared" si="115"/>
        <v>52</v>
      </c>
      <c r="M56" s="282">
        <v>0.05</v>
      </c>
      <c r="N56" s="22">
        <f t="shared" si="110"/>
        <v>0.73499999999999999</v>
      </c>
      <c r="O56" s="268">
        <f t="shared" si="111"/>
        <v>38.22</v>
      </c>
      <c r="P56" s="23">
        <f t="shared" si="112"/>
        <v>2.6</v>
      </c>
      <c r="Q56" s="268">
        <f t="shared" si="113"/>
        <v>38.22</v>
      </c>
      <c r="R56" s="118"/>
    </row>
    <row r="57" spans="1:18" x14ac:dyDescent="0.35">
      <c r="A57" s="67" t="str">
        <f>IF(TRIM(G57)&lt;&gt;"",COUNTA(G$11:$G57)&amp;"","")</f>
        <v>31</v>
      </c>
      <c r="B57" s="311"/>
      <c r="C57" s="311"/>
      <c r="D57" s="30"/>
      <c r="E57" s="52" t="s">
        <v>181</v>
      </c>
      <c r="F57" s="69">
        <f>(F52*3.5*1)/27</f>
        <v>0.95277777777777772</v>
      </c>
      <c r="G57" s="70" t="s">
        <v>180</v>
      </c>
      <c r="H57" s="21">
        <v>0.1</v>
      </c>
      <c r="I57" s="47">
        <f t="shared" si="105"/>
        <v>1.0480555555555555</v>
      </c>
      <c r="J57" s="265">
        <f t="shared" si="116"/>
        <v>0</v>
      </c>
      <c r="K57" s="268">
        <f t="shared" si="114"/>
        <v>0</v>
      </c>
      <c r="L57" s="258">
        <f t="shared" si="115"/>
        <v>52</v>
      </c>
      <c r="M57" s="282">
        <v>0.38500000000000001</v>
      </c>
      <c r="N57" s="22">
        <f t="shared" si="110"/>
        <v>0.40350138888888887</v>
      </c>
      <c r="O57" s="268">
        <f t="shared" si="111"/>
        <v>20.982072222222222</v>
      </c>
      <c r="P57" s="23">
        <f t="shared" si="112"/>
        <v>20.02</v>
      </c>
      <c r="Q57" s="268">
        <f t="shared" si="113"/>
        <v>20.982072222222222</v>
      </c>
      <c r="R57" s="118"/>
    </row>
    <row r="58" spans="1:18" x14ac:dyDescent="0.35">
      <c r="A58" s="67" t="str">
        <f>IF(TRIM(G58)&lt;&gt;"",COUNTA(G$11:$G58)&amp;"","")</f>
        <v>32</v>
      </c>
      <c r="B58" s="311"/>
      <c r="C58" s="311"/>
      <c r="D58" s="30"/>
      <c r="E58" s="52" t="s">
        <v>182</v>
      </c>
      <c r="F58" s="246">
        <f>(F57-F53)*1.1</f>
        <v>0.2994444444444444</v>
      </c>
      <c r="G58" s="70" t="s">
        <v>180</v>
      </c>
      <c r="H58" s="21">
        <v>0.1</v>
      </c>
      <c r="I58" s="47">
        <f t="shared" si="105"/>
        <v>0.32938888888888884</v>
      </c>
      <c r="J58" s="265">
        <f t="shared" si="116"/>
        <v>0</v>
      </c>
      <c r="K58" s="268">
        <f t="shared" si="114"/>
        <v>0</v>
      </c>
      <c r="L58" s="258">
        <f t="shared" si="115"/>
        <v>52</v>
      </c>
      <c r="M58" s="282">
        <v>0.28499999999999998</v>
      </c>
      <c r="N58" s="22">
        <f t="shared" si="110"/>
        <v>9.3875833333333311E-2</v>
      </c>
      <c r="O58" s="268">
        <f t="shared" si="111"/>
        <v>4.8815433333333322</v>
      </c>
      <c r="P58" s="23">
        <f t="shared" si="112"/>
        <v>14.819999999999999</v>
      </c>
      <c r="Q58" s="268">
        <f t="shared" si="113"/>
        <v>4.8815433333333322</v>
      </c>
      <c r="R58" s="118"/>
    </row>
    <row r="59" spans="1:18" x14ac:dyDescent="0.35">
      <c r="A59" s="67" t="str">
        <f>IF(TRIM(G59)&lt;&gt;"",COUNTA(G$11:$G59)&amp;"","")</f>
        <v/>
      </c>
      <c r="B59" s="311"/>
      <c r="C59" s="311"/>
      <c r="D59" s="30"/>
      <c r="E59" s="52"/>
      <c r="F59" s="69"/>
      <c r="G59" s="70"/>
      <c r="H59" s="21" t="str">
        <f t="shared" si="104"/>
        <v/>
      </c>
      <c r="I59" s="47" t="str">
        <f t="shared" si="105"/>
        <v/>
      </c>
      <c r="J59" s="265" t="str">
        <f t="shared" si="106"/>
        <v/>
      </c>
      <c r="K59" s="268" t="str">
        <f t="shared" si="107"/>
        <v/>
      </c>
      <c r="L59" s="258" t="str">
        <f t="shared" si="108"/>
        <v/>
      </c>
      <c r="M59" s="282" t="str">
        <f t="shared" si="109"/>
        <v/>
      </c>
      <c r="N59" s="22" t="str">
        <f t="shared" si="110"/>
        <v/>
      </c>
      <c r="O59" s="268" t="str">
        <f t="shared" si="111"/>
        <v/>
      </c>
      <c r="P59" s="23" t="str">
        <f t="shared" si="112"/>
        <v/>
      </c>
      <c r="Q59" s="268" t="str">
        <f t="shared" si="113"/>
        <v/>
      </c>
      <c r="R59" s="118"/>
    </row>
    <row r="60" spans="1:18" ht="43.5" x14ac:dyDescent="0.35">
      <c r="A60" s="67" t="str">
        <f>IF(TRIM(G60)&lt;&gt;"",COUNTA(G$11:$G60)&amp;"","")</f>
        <v>33</v>
      </c>
      <c r="B60" s="311"/>
      <c r="C60" s="311"/>
      <c r="D60" s="30"/>
      <c r="E60" s="244" t="s">
        <v>248</v>
      </c>
      <c r="F60" s="239">
        <v>81.23</v>
      </c>
      <c r="G60" s="245" t="s">
        <v>177</v>
      </c>
      <c r="H60" s="21"/>
      <c r="I60" s="47"/>
      <c r="J60" s="265"/>
      <c r="K60" s="268"/>
      <c r="L60" s="258"/>
      <c r="M60" s="282"/>
      <c r="N60" s="22"/>
      <c r="O60" s="268"/>
      <c r="P60" s="23"/>
      <c r="Q60" s="268"/>
      <c r="R60" s="118"/>
    </row>
    <row r="61" spans="1:18" x14ac:dyDescent="0.35">
      <c r="A61" s="67" t="str">
        <f>IF(TRIM(G61)&lt;&gt;"",COUNTA(G$11:$G61)&amp;"","")</f>
        <v>34</v>
      </c>
      <c r="B61" s="311"/>
      <c r="C61" s="311"/>
      <c r="D61" s="30"/>
      <c r="E61" s="52" t="s">
        <v>237</v>
      </c>
      <c r="F61" s="69">
        <f>(F60*6*1.33)/27</f>
        <v>24.007977777777779</v>
      </c>
      <c r="G61" s="70" t="s">
        <v>180</v>
      </c>
      <c r="H61" s="21">
        <v>0.1</v>
      </c>
      <c r="I61" s="47">
        <f t="shared" si="105"/>
        <v>26.408775555555557</v>
      </c>
      <c r="J61" s="265">
        <v>210</v>
      </c>
      <c r="K61" s="268">
        <f t="shared" ref="K61:K66" si="117">IF(F61=0,"",J61*I61)</f>
        <v>5545.8428666666669</v>
      </c>
      <c r="L61" s="258">
        <f t="shared" ref="L61:L66" si="118">IF(F61=0,"",L$28)</f>
        <v>52</v>
      </c>
      <c r="M61" s="282">
        <v>2.5</v>
      </c>
      <c r="N61" s="22">
        <f t="shared" si="110"/>
        <v>66.021938888888897</v>
      </c>
      <c r="O61" s="268">
        <f t="shared" si="111"/>
        <v>3433.1408222222226</v>
      </c>
      <c r="P61" s="23">
        <f t="shared" si="112"/>
        <v>340</v>
      </c>
      <c r="Q61" s="268">
        <f t="shared" si="113"/>
        <v>8978.9836888888894</v>
      </c>
      <c r="R61" s="118"/>
    </row>
    <row r="62" spans="1:18" x14ac:dyDescent="0.35">
      <c r="A62" s="67" t="str">
        <f>IF(TRIM(G62)&lt;&gt;"",COUNTA(G$11:$G62)&amp;"","")</f>
        <v>35</v>
      </c>
      <c r="B62" s="311"/>
      <c r="C62" s="311"/>
      <c r="D62" s="30"/>
      <c r="E62" s="52" t="s">
        <v>249</v>
      </c>
      <c r="F62" s="69">
        <f>(F60/1)*5.5*2*1.502</f>
        <v>1342.0820600000002</v>
      </c>
      <c r="G62" s="70" t="s">
        <v>240</v>
      </c>
      <c r="H62" s="21">
        <v>0.1</v>
      </c>
      <c r="I62" s="47">
        <f t="shared" si="105"/>
        <v>1476.2902660000002</v>
      </c>
      <c r="J62" s="265">
        <v>0.93</v>
      </c>
      <c r="K62" s="268">
        <f t="shared" si="117"/>
        <v>1372.9499473800004</v>
      </c>
      <c r="L62" s="258">
        <f t="shared" si="118"/>
        <v>52</v>
      </c>
      <c r="M62" s="282">
        <v>0.01</v>
      </c>
      <c r="N62" s="22">
        <f t="shared" si="110"/>
        <v>14.762902660000002</v>
      </c>
      <c r="O62" s="268">
        <f t="shared" si="111"/>
        <v>767.67093832000012</v>
      </c>
      <c r="P62" s="23">
        <f t="shared" si="112"/>
        <v>1.4500000000000002</v>
      </c>
      <c r="Q62" s="268">
        <f t="shared" si="113"/>
        <v>2140.6208857000006</v>
      </c>
      <c r="R62" s="118"/>
    </row>
    <row r="63" spans="1:18" x14ac:dyDescent="0.35">
      <c r="A63" s="67" t="str">
        <f>IF(TRIM(G63)&lt;&gt;"",COUNTA(G$11:$G63)&amp;"","")</f>
        <v>36</v>
      </c>
      <c r="B63" s="311"/>
      <c r="C63" s="311"/>
      <c r="D63" s="30"/>
      <c r="E63" s="52" t="s">
        <v>239</v>
      </c>
      <c r="F63" s="69">
        <f>(F60*0.668)*2</f>
        <v>108.52328000000001</v>
      </c>
      <c r="G63" s="70" t="s">
        <v>240</v>
      </c>
      <c r="H63" s="21">
        <v>0.1</v>
      </c>
      <c r="I63" s="47">
        <f t="shared" si="105"/>
        <v>119.37560800000001</v>
      </c>
      <c r="J63" s="265">
        <v>0.93</v>
      </c>
      <c r="K63" s="268">
        <f t="shared" si="117"/>
        <v>111.01931544000001</v>
      </c>
      <c r="L63" s="258">
        <f t="shared" si="118"/>
        <v>52</v>
      </c>
      <c r="M63" s="282">
        <v>0.01</v>
      </c>
      <c r="N63" s="22">
        <f t="shared" si="110"/>
        <v>1.1937560800000002</v>
      </c>
      <c r="O63" s="268">
        <f t="shared" si="111"/>
        <v>62.075316160000014</v>
      </c>
      <c r="P63" s="23">
        <f t="shared" si="112"/>
        <v>1.45</v>
      </c>
      <c r="Q63" s="268">
        <f t="shared" si="113"/>
        <v>173.09463160000001</v>
      </c>
      <c r="R63" s="118"/>
    </row>
    <row r="64" spans="1:18" x14ac:dyDescent="0.35">
      <c r="A64" s="67" t="str">
        <f>IF(TRIM(G64)&lt;&gt;"",COUNTA(G$11:$G64)&amp;"","")</f>
        <v>37</v>
      </c>
      <c r="B64" s="311"/>
      <c r="C64" s="311"/>
      <c r="D64" s="30"/>
      <c r="E64" s="52" t="s">
        <v>242</v>
      </c>
      <c r="F64" s="69">
        <f>(F60*1.33)*2</f>
        <v>216.07180000000002</v>
      </c>
      <c r="G64" s="70" t="s">
        <v>163</v>
      </c>
      <c r="H64" s="21">
        <v>0.1</v>
      </c>
      <c r="I64" s="47">
        <f t="shared" si="105"/>
        <v>237.67898000000002</v>
      </c>
      <c r="J64" s="265">
        <f t="shared" ref="J64:J66" si="119">IF(F64=0,"",0)</f>
        <v>0</v>
      </c>
      <c r="K64" s="268">
        <f t="shared" si="117"/>
        <v>0</v>
      </c>
      <c r="L64" s="258">
        <f t="shared" si="118"/>
        <v>52</v>
      </c>
      <c r="M64" s="282">
        <v>0.05</v>
      </c>
      <c r="N64" s="22">
        <f t="shared" si="110"/>
        <v>11.883949000000001</v>
      </c>
      <c r="O64" s="268">
        <f t="shared" si="111"/>
        <v>617.96534800000006</v>
      </c>
      <c r="P64" s="23">
        <f t="shared" si="112"/>
        <v>2.6</v>
      </c>
      <c r="Q64" s="268">
        <f t="shared" si="113"/>
        <v>617.96534800000006</v>
      </c>
      <c r="R64" s="118"/>
    </row>
    <row r="65" spans="1:18" x14ac:dyDescent="0.35">
      <c r="A65" s="67" t="str">
        <f>IF(TRIM(G65)&lt;&gt;"",COUNTA(G$11:$G65)&amp;"","")</f>
        <v>38</v>
      </c>
      <c r="B65" s="311"/>
      <c r="C65" s="311"/>
      <c r="D65" s="30"/>
      <c r="E65" s="52" t="s">
        <v>181</v>
      </c>
      <c r="F65" s="69">
        <f>(F60*7*1.33)/27</f>
        <v>28.009307407407409</v>
      </c>
      <c r="G65" s="70" t="s">
        <v>180</v>
      </c>
      <c r="H65" s="21">
        <v>0.1</v>
      </c>
      <c r="I65" s="47">
        <f t="shared" si="105"/>
        <v>30.810238148148152</v>
      </c>
      <c r="J65" s="265">
        <f t="shared" si="119"/>
        <v>0</v>
      </c>
      <c r="K65" s="268">
        <f t="shared" si="117"/>
        <v>0</v>
      </c>
      <c r="L65" s="258">
        <f t="shared" si="118"/>
        <v>52</v>
      </c>
      <c r="M65" s="282">
        <v>0.38500000000000001</v>
      </c>
      <c r="N65" s="22">
        <f t="shared" si="110"/>
        <v>11.861941687037039</v>
      </c>
      <c r="O65" s="268">
        <f t="shared" si="111"/>
        <v>616.82096772592604</v>
      </c>
      <c r="P65" s="23">
        <f t="shared" si="112"/>
        <v>20.020000000000003</v>
      </c>
      <c r="Q65" s="268">
        <f t="shared" si="113"/>
        <v>616.82096772592604</v>
      </c>
      <c r="R65" s="118"/>
    </row>
    <row r="66" spans="1:18" x14ac:dyDescent="0.35">
      <c r="A66" s="67" t="str">
        <f>IF(TRIM(G66)&lt;&gt;"",COUNTA(G$11:$G66)&amp;"","")</f>
        <v>39</v>
      </c>
      <c r="B66" s="311"/>
      <c r="C66" s="311"/>
      <c r="D66" s="30"/>
      <c r="E66" s="52" t="s">
        <v>182</v>
      </c>
      <c r="F66" s="69">
        <f>(F65-F61)*1.1</f>
        <v>4.4014625925925941</v>
      </c>
      <c r="G66" s="70" t="s">
        <v>180</v>
      </c>
      <c r="H66" s="21">
        <v>0.1</v>
      </c>
      <c r="I66" s="47">
        <f t="shared" si="105"/>
        <v>4.8416088518518539</v>
      </c>
      <c r="J66" s="265">
        <f t="shared" si="119"/>
        <v>0</v>
      </c>
      <c r="K66" s="268">
        <f t="shared" si="117"/>
        <v>0</v>
      </c>
      <c r="L66" s="258">
        <f t="shared" si="118"/>
        <v>52</v>
      </c>
      <c r="M66" s="282">
        <v>0.28499999999999998</v>
      </c>
      <c r="N66" s="22">
        <f t="shared" si="110"/>
        <v>1.3798585227777782</v>
      </c>
      <c r="O66" s="268">
        <f t="shared" si="111"/>
        <v>71.752643184444466</v>
      </c>
      <c r="P66" s="23">
        <f t="shared" si="112"/>
        <v>14.819999999999999</v>
      </c>
      <c r="Q66" s="268">
        <f t="shared" si="113"/>
        <v>71.752643184444466</v>
      </c>
      <c r="R66" s="118"/>
    </row>
    <row r="67" spans="1:18" x14ac:dyDescent="0.35">
      <c r="A67" s="67" t="str">
        <f>IF(TRIM(G67)&lt;&gt;"",COUNTA(G$11:$G67)&amp;"","")</f>
        <v/>
      </c>
      <c r="B67" s="311"/>
      <c r="C67" s="311"/>
      <c r="D67" s="30"/>
      <c r="E67" s="52"/>
      <c r="F67" s="69"/>
      <c r="G67" s="70"/>
      <c r="H67" s="21" t="str">
        <f t="shared" si="104"/>
        <v/>
      </c>
      <c r="I67" s="47" t="str">
        <f t="shared" si="105"/>
        <v/>
      </c>
      <c r="J67" s="265" t="str">
        <f t="shared" si="106"/>
        <v/>
      </c>
      <c r="K67" s="268" t="str">
        <f t="shared" si="107"/>
        <v/>
      </c>
      <c r="L67" s="258" t="str">
        <f t="shared" si="108"/>
        <v/>
      </c>
      <c r="M67" s="282" t="str">
        <f t="shared" si="109"/>
        <v/>
      </c>
      <c r="N67" s="22" t="str">
        <f t="shared" si="110"/>
        <v/>
      </c>
      <c r="O67" s="268" t="str">
        <f t="shared" si="111"/>
        <v/>
      </c>
      <c r="P67" s="23" t="str">
        <f t="shared" si="112"/>
        <v/>
      </c>
      <c r="Q67" s="268" t="str">
        <f t="shared" si="113"/>
        <v/>
      </c>
      <c r="R67" s="118"/>
    </row>
    <row r="68" spans="1:18" ht="43.5" x14ac:dyDescent="0.35">
      <c r="A68" s="67" t="str">
        <f>IF(TRIM(G68)&lt;&gt;"",COUNTA(G$11:$G68)&amp;"","")</f>
        <v>40</v>
      </c>
      <c r="B68" s="311"/>
      <c r="C68" s="311"/>
      <c r="D68" s="30"/>
      <c r="E68" s="244" t="s">
        <v>250</v>
      </c>
      <c r="F68" s="239">
        <v>2.88</v>
      </c>
      <c r="G68" s="245" t="s">
        <v>177</v>
      </c>
      <c r="H68" s="21"/>
      <c r="I68" s="47"/>
      <c r="J68" s="265"/>
      <c r="K68" s="268"/>
      <c r="L68" s="258"/>
      <c r="M68" s="282"/>
      <c r="N68" s="22"/>
      <c r="O68" s="268"/>
      <c r="P68" s="23"/>
      <c r="Q68" s="268"/>
      <c r="R68" s="118"/>
    </row>
    <row r="69" spans="1:18" x14ac:dyDescent="0.35">
      <c r="A69" s="67" t="str">
        <f>IF(TRIM(G69)&lt;&gt;"",COUNTA(G$11:$G69)&amp;"","")</f>
        <v>41</v>
      </c>
      <c r="B69" s="311"/>
      <c r="C69" s="311"/>
      <c r="D69" s="30"/>
      <c r="E69" s="52" t="s">
        <v>237</v>
      </c>
      <c r="F69" s="69">
        <f>(F68*7*1.33)/27</f>
        <v>0.99306666666666676</v>
      </c>
      <c r="G69" s="70" t="s">
        <v>180</v>
      </c>
      <c r="H69" s="21">
        <v>0.1</v>
      </c>
      <c r="I69" s="47">
        <f t="shared" ref="I69:I86" si="120">IF(F69=0,"",F69+(F69*H69))</f>
        <v>1.0923733333333334</v>
      </c>
      <c r="J69" s="265">
        <v>210</v>
      </c>
      <c r="K69" s="268">
        <f t="shared" ref="K69:K74" si="121">IF(F69=0,"",J69*I69)</f>
        <v>229.39840000000001</v>
      </c>
      <c r="L69" s="258">
        <f t="shared" ref="L69:L74" si="122">IF(F69=0,"",L$28)</f>
        <v>52</v>
      </c>
      <c r="M69" s="282">
        <v>2.5</v>
      </c>
      <c r="N69" s="22">
        <f t="shared" ref="N69:N86" si="123">IF(F69=0,"",M69*I69)</f>
        <v>2.7309333333333337</v>
      </c>
      <c r="O69" s="268">
        <f t="shared" ref="O69:O86" si="124">IF(F69=0,"",N69*L69)</f>
        <v>142.00853333333336</v>
      </c>
      <c r="P69" s="23">
        <f t="shared" ref="P69:P86" si="125">IF(F69=0,"",(K69+O69)/I69)</f>
        <v>340</v>
      </c>
      <c r="Q69" s="268">
        <f t="shared" ref="Q69:Q86" si="126">IF(F69=0,"",(P69*I69))</f>
        <v>371.40693333333337</v>
      </c>
      <c r="R69" s="118"/>
    </row>
    <row r="70" spans="1:18" x14ac:dyDescent="0.35">
      <c r="A70" s="67" t="str">
        <f>IF(TRIM(G70)&lt;&gt;"",COUNTA(G$11:$G70)&amp;"","")</f>
        <v>42</v>
      </c>
      <c r="B70" s="311"/>
      <c r="C70" s="311"/>
      <c r="D70" s="30"/>
      <c r="E70" s="52" t="s">
        <v>249</v>
      </c>
      <c r="F70" s="69">
        <f>(F68/1)*1.502*2</f>
        <v>8.6515199999999997</v>
      </c>
      <c r="G70" s="70" t="s">
        <v>240</v>
      </c>
      <c r="H70" s="21">
        <v>0.1</v>
      </c>
      <c r="I70" s="47">
        <f t="shared" si="120"/>
        <v>9.5166719999999998</v>
      </c>
      <c r="J70" s="265">
        <v>0.93</v>
      </c>
      <c r="K70" s="268">
        <f t="shared" si="121"/>
        <v>8.8505049600000003</v>
      </c>
      <c r="L70" s="258">
        <f t="shared" si="122"/>
        <v>52</v>
      </c>
      <c r="M70" s="282">
        <v>0.01</v>
      </c>
      <c r="N70" s="22">
        <f t="shared" si="123"/>
        <v>9.5166719999999996E-2</v>
      </c>
      <c r="O70" s="268">
        <f t="shared" si="124"/>
        <v>4.9486694399999998</v>
      </c>
      <c r="P70" s="23">
        <f t="shared" si="125"/>
        <v>1.45</v>
      </c>
      <c r="Q70" s="268">
        <f t="shared" si="126"/>
        <v>13.7991744</v>
      </c>
      <c r="R70" s="118"/>
    </row>
    <row r="71" spans="1:18" x14ac:dyDescent="0.35">
      <c r="A71" s="67" t="str">
        <f>IF(TRIM(G71)&lt;&gt;"",COUNTA(G$11:$G71)&amp;"","")</f>
        <v>43</v>
      </c>
      <c r="B71" s="311"/>
      <c r="C71" s="311"/>
      <c r="D71" s="30"/>
      <c r="E71" s="52" t="s">
        <v>239</v>
      </c>
      <c r="F71" s="69">
        <f>(F68*0.668)*2</f>
        <v>3.84768</v>
      </c>
      <c r="G71" s="70" t="s">
        <v>240</v>
      </c>
      <c r="H71" s="21">
        <v>0.1</v>
      </c>
      <c r="I71" s="47">
        <f t="shared" si="120"/>
        <v>4.2324479999999998</v>
      </c>
      <c r="J71" s="265">
        <v>0.93</v>
      </c>
      <c r="K71" s="268">
        <f t="shared" si="121"/>
        <v>3.9361766399999998</v>
      </c>
      <c r="L71" s="258">
        <f t="shared" si="122"/>
        <v>52</v>
      </c>
      <c r="M71" s="282">
        <v>0.01</v>
      </c>
      <c r="N71" s="22">
        <f t="shared" si="123"/>
        <v>4.2324479999999998E-2</v>
      </c>
      <c r="O71" s="268">
        <f t="shared" si="124"/>
        <v>2.2008729599999999</v>
      </c>
      <c r="P71" s="23">
        <f t="shared" si="125"/>
        <v>1.45</v>
      </c>
      <c r="Q71" s="268">
        <f t="shared" si="126"/>
        <v>6.1370495999999992</v>
      </c>
      <c r="R71" s="118"/>
    </row>
    <row r="72" spans="1:18" x14ac:dyDescent="0.35">
      <c r="A72" s="67" t="str">
        <f>IF(TRIM(G72)&lt;&gt;"",COUNTA(G$11:$G72)&amp;"","")</f>
        <v>44</v>
      </c>
      <c r="B72" s="311"/>
      <c r="C72" s="311"/>
      <c r="D72" s="30"/>
      <c r="E72" s="52" t="s">
        <v>242</v>
      </c>
      <c r="F72" s="69">
        <f>(F68*1.33)*2</f>
        <v>7.6608000000000001</v>
      </c>
      <c r="G72" s="70" t="s">
        <v>163</v>
      </c>
      <c r="H72" s="21">
        <v>0.1</v>
      </c>
      <c r="I72" s="47">
        <f t="shared" si="120"/>
        <v>8.4268800000000006</v>
      </c>
      <c r="J72" s="265">
        <f t="shared" ref="J72:J74" si="127">IF(F72=0,"",0)</f>
        <v>0</v>
      </c>
      <c r="K72" s="268">
        <f t="shared" si="121"/>
        <v>0</v>
      </c>
      <c r="L72" s="258">
        <f t="shared" si="122"/>
        <v>52</v>
      </c>
      <c r="M72" s="282">
        <v>0.05</v>
      </c>
      <c r="N72" s="22">
        <f t="shared" si="123"/>
        <v>0.42134400000000005</v>
      </c>
      <c r="O72" s="268">
        <f t="shared" si="124"/>
        <v>21.909888000000002</v>
      </c>
      <c r="P72" s="23">
        <f t="shared" si="125"/>
        <v>2.6</v>
      </c>
      <c r="Q72" s="268">
        <f t="shared" si="126"/>
        <v>21.909888000000002</v>
      </c>
      <c r="R72" s="118"/>
    </row>
    <row r="73" spans="1:18" x14ac:dyDescent="0.35">
      <c r="A73" s="67" t="str">
        <f>IF(TRIM(G73)&lt;&gt;"",COUNTA(G$11:$G73)&amp;"","")</f>
        <v>45</v>
      </c>
      <c r="B73" s="311"/>
      <c r="C73" s="311"/>
      <c r="D73" s="30"/>
      <c r="E73" s="52" t="s">
        <v>181</v>
      </c>
      <c r="F73" s="69">
        <f>(F68*8*1.33)/27</f>
        <v>1.1349333333333333</v>
      </c>
      <c r="G73" s="70" t="s">
        <v>180</v>
      </c>
      <c r="H73" s="21">
        <v>0.1</v>
      </c>
      <c r="I73" s="47">
        <f t="shared" si="120"/>
        <v>1.2484266666666666</v>
      </c>
      <c r="J73" s="265">
        <f t="shared" si="127"/>
        <v>0</v>
      </c>
      <c r="K73" s="268">
        <f t="shared" si="121"/>
        <v>0</v>
      </c>
      <c r="L73" s="258">
        <f t="shared" si="122"/>
        <v>52</v>
      </c>
      <c r="M73" s="282">
        <v>0.38500000000000001</v>
      </c>
      <c r="N73" s="22">
        <f t="shared" si="123"/>
        <v>0.48064426666666665</v>
      </c>
      <c r="O73" s="268">
        <f t="shared" si="124"/>
        <v>24.993501866666666</v>
      </c>
      <c r="P73" s="23">
        <f t="shared" si="125"/>
        <v>20.02</v>
      </c>
      <c r="Q73" s="268">
        <f t="shared" si="126"/>
        <v>24.993501866666666</v>
      </c>
      <c r="R73" s="118"/>
    </row>
    <row r="74" spans="1:18" x14ac:dyDescent="0.35">
      <c r="A74" s="67" t="str">
        <f>IF(TRIM(G74)&lt;&gt;"",COUNTA(G$11:$G74)&amp;"","")</f>
        <v>46</v>
      </c>
      <c r="B74" s="311"/>
      <c r="C74" s="311"/>
      <c r="D74" s="30"/>
      <c r="E74" s="52" t="s">
        <v>182</v>
      </c>
      <c r="F74" s="246">
        <f>(F73-F69)*1.1</f>
        <v>0.15605333333333327</v>
      </c>
      <c r="G74" s="70" t="s">
        <v>180</v>
      </c>
      <c r="H74" s="21">
        <v>0.1</v>
      </c>
      <c r="I74" s="47">
        <f t="shared" si="120"/>
        <v>0.1716586666666666</v>
      </c>
      <c r="J74" s="265">
        <f t="shared" si="127"/>
        <v>0</v>
      </c>
      <c r="K74" s="268">
        <f t="shared" si="121"/>
        <v>0</v>
      </c>
      <c r="L74" s="258">
        <f t="shared" si="122"/>
        <v>52</v>
      </c>
      <c r="M74" s="282">
        <v>0.28499999999999998</v>
      </c>
      <c r="N74" s="22">
        <f t="shared" si="123"/>
        <v>4.8922719999999975E-2</v>
      </c>
      <c r="O74" s="268">
        <f t="shared" si="124"/>
        <v>2.5439814399999987</v>
      </c>
      <c r="P74" s="23">
        <f t="shared" si="125"/>
        <v>14.819999999999999</v>
      </c>
      <c r="Q74" s="268">
        <f t="shared" si="126"/>
        <v>2.5439814399999987</v>
      </c>
      <c r="R74" s="118"/>
    </row>
    <row r="75" spans="1:18" x14ac:dyDescent="0.35">
      <c r="A75" s="67" t="str">
        <f>IF(TRIM(G75)&lt;&gt;"",COUNTA(G$11:$G75)&amp;"","")</f>
        <v/>
      </c>
      <c r="B75" s="311"/>
      <c r="C75" s="311"/>
      <c r="D75" s="30"/>
      <c r="E75" s="52"/>
      <c r="F75" s="69"/>
      <c r="G75" s="70"/>
      <c r="H75" s="21" t="str">
        <f t="shared" ref="H75:H83" si="128">IF(F75=0,"",0)</f>
        <v/>
      </c>
      <c r="I75" s="47" t="str">
        <f t="shared" si="120"/>
        <v/>
      </c>
      <c r="J75" s="265" t="str">
        <f t="shared" ref="J75:J83" si="129">IF(F75=0,"",0)</f>
        <v/>
      </c>
      <c r="K75" s="268" t="str">
        <f t="shared" ref="K75:K83" si="130">IF(F75=0,"",J75*I75)</f>
        <v/>
      </c>
      <c r="L75" s="258" t="str">
        <f t="shared" ref="L75:L83" si="131">IF(F75=0,"",L$28)</f>
        <v/>
      </c>
      <c r="M75" s="282" t="str">
        <f t="shared" ref="M75:M83" si="132">IF(F75=0,"",0)</f>
        <v/>
      </c>
      <c r="N75" s="22" t="str">
        <f t="shared" si="123"/>
        <v/>
      </c>
      <c r="O75" s="268" t="str">
        <f t="shared" si="124"/>
        <v/>
      </c>
      <c r="P75" s="23" t="str">
        <f t="shared" si="125"/>
        <v/>
      </c>
      <c r="Q75" s="268" t="str">
        <f t="shared" si="126"/>
        <v/>
      </c>
      <c r="R75" s="118"/>
    </row>
    <row r="76" spans="1:18" ht="43.5" x14ac:dyDescent="0.35">
      <c r="A76" s="67" t="str">
        <f>IF(TRIM(G76)&lt;&gt;"",COUNTA(G$11:$G76)&amp;"","")</f>
        <v>47</v>
      </c>
      <c r="B76" s="311"/>
      <c r="C76" s="311"/>
      <c r="D76" s="30"/>
      <c r="E76" s="244" t="s">
        <v>251</v>
      </c>
      <c r="F76" s="239">
        <v>29.7</v>
      </c>
      <c r="G76" s="245" t="s">
        <v>177</v>
      </c>
      <c r="H76" s="21"/>
      <c r="I76" s="47"/>
      <c r="J76" s="265"/>
      <c r="K76" s="268"/>
      <c r="L76" s="258"/>
      <c r="M76" s="282"/>
      <c r="N76" s="22"/>
      <c r="O76" s="268"/>
      <c r="P76" s="23"/>
      <c r="Q76" s="268"/>
      <c r="R76" s="118"/>
    </row>
    <row r="77" spans="1:18" x14ac:dyDescent="0.35">
      <c r="A77" s="67" t="str">
        <f>IF(TRIM(G77)&lt;&gt;"",COUNTA(G$11:$G77)&amp;"","")</f>
        <v>48</v>
      </c>
      <c r="B77" s="311"/>
      <c r="C77" s="311"/>
      <c r="D77" s="30"/>
      <c r="E77" s="52" t="s">
        <v>237</v>
      </c>
      <c r="F77" s="69">
        <f>(F76*3*1.33)/27</f>
        <v>4.3890000000000002</v>
      </c>
      <c r="G77" s="70" t="s">
        <v>180</v>
      </c>
      <c r="H77" s="21">
        <v>0.1</v>
      </c>
      <c r="I77" s="47">
        <f t="shared" si="120"/>
        <v>4.8279000000000005</v>
      </c>
      <c r="J77" s="265">
        <v>210</v>
      </c>
      <c r="K77" s="268">
        <f t="shared" ref="K77:K82" si="133">IF(F77=0,"",J77*I77)</f>
        <v>1013.8590000000002</v>
      </c>
      <c r="L77" s="258">
        <f t="shared" ref="L77:L82" si="134">IF(F77=0,"",L$28)</f>
        <v>52</v>
      </c>
      <c r="M77" s="282">
        <v>2.5</v>
      </c>
      <c r="N77" s="22">
        <f t="shared" si="123"/>
        <v>12.069750000000001</v>
      </c>
      <c r="O77" s="268">
        <f t="shared" si="124"/>
        <v>627.62700000000007</v>
      </c>
      <c r="P77" s="23">
        <f t="shared" si="125"/>
        <v>340.00000000000006</v>
      </c>
      <c r="Q77" s="268">
        <f t="shared" si="126"/>
        <v>1641.4860000000006</v>
      </c>
      <c r="R77" s="118"/>
    </row>
    <row r="78" spans="1:18" x14ac:dyDescent="0.35">
      <c r="A78" s="67" t="str">
        <f>IF(TRIM(G78)&lt;&gt;"",COUNTA(G$11:$G78)&amp;"","")</f>
        <v>49</v>
      </c>
      <c r="B78" s="311"/>
      <c r="C78" s="311"/>
      <c r="D78" s="30"/>
      <c r="E78" s="52" t="s">
        <v>252</v>
      </c>
      <c r="F78" s="69">
        <f>(F76/0.67)*1.043*2</f>
        <v>92.468955223880585</v>
      </c>
      <c r="G78" s="70" t="s">
        <v>240</v>
      </c>
      <c r="H78" s="21">
        <v>0.1</v>
      </c>
      <c r="I78" s="47">
        <f t="shared" si="120"/>
        <v>101.71585074626864</v>
      </c>
      <c r="J78" s="265">
        <v>0.93</v>
      </c>
      <c r="K78" s="268">
        <f t="shared" si="133"/>
        <v>94.595741194029841</v>
      </c>
      <c r="L78" s="258">
        <f t="shared" si="134"/>
        <v>52</v>
      </c>
      <c r="M78" s="282">
        <v>0.01</v>
      </c>
      <c r="N78" s="22">
        <f t="shared" si="123"/>
        <v>1.0171585074626865</v>
      </c>
      <c r="O78" s="268">
        <f t="shared" si="124"/>
        <v>52.892242388059699</v>
      </c>
      <c r="P78" s="23">
        <f t="shared" si="125"/>
        <v>1.4500000000000002</v>
      </c>
      <c r="Q78" s="268">
        <f t="shared" si="126"/>
        <v>147.48798358208956</v>
      </c>
      <c r="R78" s="118"/>
    </row>
    <row r="79" spans="1:18" x14ac:dyDescent="0.35">
      <c r="A79" s="67" t="str">
        <f>IF(TRIM(G79)&lt;&gt;"",COUNTA(G$11:$G79)&amp;"","")</f>
        <v>50</v>
      </c>
      <c r="B79" s="311"/>
      <c r="C79" s="311"/>
      <c r="D79" s="30"/>
      <c r="E79" s="52" t="s">
        <v>239</v>
      </c>
      <c r="F79" s="69">
        <f>(F76*0.668)*2</f>
        <v>39.679200000000002</v>
      </c>
      <c r="G79" s="70" t="s">
        <v>240</v>
      </c>
      <c r="H79" s="21">
        <v>0.1</v>
      </c>
      <c r="I79" s="47">
        <f t="shared" si="120"/>
        <v>43.647120000000001</v>
      </c>
      <c r="J79" s="265">
        <v>0.93</v>
      </c>
      <c r="K79" s="268">
        <f t="shared" si="133"/>
        <v>40.591821600000003</v>
      </c>
      <c r="L79" s="258">
        <f t="shared" si="134"/>
        <v>52</v>
      </c>
      <c r="M79" s="282">
        <v>0.01</v>
      </c>
      <c r="N79" s="22">
        <f t="shared" si="123"/>
        <v>0.4364712</v>
      </c>
      <c r="O79" s="268">
        <f t="shared" si="124"/>
        <v>22.6965024</v>
      </c>
      <c r="P79" s="23">
        <f t="shared" si="125"/>
        <v>1.45</v>
      </c>
      <c r="Q79" s="268">
        <f t="shared" si="126"/>
        <v>63.288324000000003</v>
      </c>
      <c r="R79" s="118"/>
    </row>
    <row r="80" spans="1:18" x14ac:dyDescent="0.35">
      <c r="A80" s="67" t="str">
        <f>IF(TRIM(G80)&lt;&gt;"",COUNTA(G$11:$G80)&amp;"","")</f>
        <v>51</v>
      </c>
      <c r="B80" s="311"/>
      <c r="C80" s="311"/>
      <c r="D80" s="30"/>
      <c r="E80" s="52" t="s">
        <v>242</v>
      </c>
      <c r="F80" s="69">
        <f>(F76*1.33)*2</f>
        <v>79.001999999999995</v>
      </c>
      <c r="G80" s="70" t="s">
        <v>163</v>
      </c>
      <c r="H80" s="21">
        <v>0.1</v>
      </c>
      <c r="I80" s="47">
        <f t="shared" si="120"/>
        <v>86.902199999999993</v>
      </c>
      <c r="J80" s="265">
        <f t="shared" ref="J80:J82" si="135">IF(F80=0,"",0)</f>
        <v>0</v>
      </c>
      <c r="K80" s="268">
        <f t="shared" si="133"/>
        <v>0</v>
      </c>
      <c r="L80" s="258">
        <f t="shared" si="134"/>
        <v>52</v>
      </c>
      <c r="M80" s="282">
        <v>0.05</v>
      </c>
      <c r="N80" s="22">
        <f t="shared" si="123"/>
        <v>4.34511</v>
      </c>
      <c r="O80" s="268">
        <f t="shared" si="124"/>
        <v>225.94571999999999</v>
      </c>
      <c r="P80" s="23">
        <f t="shared" si="125"/>
        <v>2.6</v>
      </c>
      <c r="Q80" s="268">
        <f t="shared" si="126"/>
        <v>225.94571999999999</v>
      </c>
      <c r="R80" s="118"/>
    </row>
    <row r="81" spans="1:18" x14ac:dyDescent="0.35">
      <c r="A81" s="67" t="str">
        <f>IF(TRIM(G81)&lt;&gt;"",COUNTA(G$11:$G81)&amp;"","")</f>
        <v>52</v>
      </c>
      <c r="B81" s="311"/>
      <c r="C81" s="311"/>
      <c r="D81" s="30"/>
      <c r="E81" s="52" t="s">
        <v>181</v>
      </c>
      <c r="F81" s="69">
        <f>(F76*4*1.33)/27</f>
        <v>5.8519999999999994</v>
      </c>
      <c r="G81" s="70" t="s">
        <v>180</v>
      </c>
      <c r="H81" s="21">
        <v>0.1</v>
      </c>
      <c r="I81" s="47">
        <f t="shared" si="120"/>
        <v>6.4371999999999989</v>
      </c>
      <c r="J81" s="265">
        <f t="shared" si="135"/>
        <v>0</v>
      </c>
      <c r="K81" s="268">
        <f t="shared" si="133"/>
        <v>0</v>
      </c>
      <c r="L81" s="258">
        <f t="shared" si="134"/>
        <v>52</v>
      </c>
      <c r="M81" s="282">
        <v>0.38500000000000001</v>
      </c>
      <c r="N81" s="22">
        <f t="shared" si="123"/>
        <v>2.4783219999999995</v>
      </c>
      <c r="O81" s="268">
        <f t="shared" si="124"/>
        <v>128.87274399999998</v>
      </c>
      <c r="P81" s="23">
        <f t="shared" si="125"/>
        <v>20.02</v>
      </c>
      <c r="Q81" s="268">
        <f t="shared" si="126"/>
        <v>128.87274399999998</v>
      </c>
      <c r="R81" s="118"/>
    </row>
    <row r="82" spans="1:18" x14ac:dyDescent="0.35">
      <c r="A82" s="67" t="str">
        <f>IF(TRIM(G82)&lt;&gt;"",COUNTA(G$11:$G82)&amp;"","")</f>
        <v>53</v>
      </c>
      <c r="B82" s="311"/>
      <c r="C82" s="311"/>
      <c r="D82" s="30"/>
      <c r="E82" s="52" t="s">
        <v>182</v>
      </c>
      <c r="F82" s="69">
        <f>(F81-F77)*1.1</f>
        <v>1.6092999999999993</v>
      </c>
      <c r="G82" s="70" t="s">
        <v>180</v>
      </c>
      <c r="H82" s="21">
        <v>0.1</v>
      </c>
      <c r="I82" s="47">
        <f t="shared" si="120"/>
        <v>1.7702299999999993</v>
      </c>
      <c r="J82" s="265">
        <f t="shared" si="135"/>
        <v>0</v>
      </c>
      <c r="K82" s="268">
        <f t="shared" si="133"/>
        <v>0</v>
      </c>
      <c r="L82" s="258">
        <f t="shared" si="134"/>
        <v>52</v>
      </c>
      <c r="M82" s="282">
        <v>0.28499999999999998</v>
      </c>
      <c r="N82" s="22">
        <f t="shared" si="123"/>
        <v>0.50451554999999981</v>
      </c>
      <c r="O82" s="268">
        <f t="shared" si="124"/>
        <v>26.23480859999999</v>
      </c>
      <c r="P82" s="23">
        <f t="shared" si="125"/>
        <v>14.82</v>
      </c>
      <c r="Q82" s="268">
        <f t="shared" si="126"/>
        <v>26.23480859999999</v>
      </c>
      <c r="R82" s="118"/>
    </row>
    <row r="83" spans="1:18" x14ac:dyDescent="0.35">
      <c r="A83" s="67" t="str">
        <f>IF(TRIM(G83)&lt;&gt;"",COUNTA(G$11:$G83)&amp;"","")</f>
        <v/>
      </c>
      <c r="B83" s="311"/>
      <c r="C83" s="311"/>
      <c r="D83" s="30"/>
      <c r="E83" s="52"/>
      <c r="F83" s="69"/>
      <c r="G83" s="70"/>
      <c r="H83" s="21" t="str">
        <f t="shared" si="128"/>
        <v/>
      </c>
      <c r="I83" s="47" t="str">
        <f t="shared" si="120"/>
        <v/>
      </c>
      <c r="J83" s="265" t="str">
        <f t="shared" si="129"/>
        <v/>
      </c>
      <c r="K83" s="268" t="str">
        <f t="shared" si="130"/>
        <v/>
      </c>
      <c r="L83" s="258" t="str">
        <f t="shared" si="131"/>
        <v/>
      </c>
      <c r="M83" s="282" t="str">
        <f t="shared" si="132"/>
        <v/>
      </c>
      <c r="N83" s="22" t="str">
        <f t="shared" si="123"/>
        <v/>
      </c>
      <c r="O83" s="268" t="str">
        <f t="shared" si="124"/>
        <v/>
      </c>
      <c r="P83" s="23" t="str">
        <f t="shared" si="125"/>
        <v/>
      </c>
      <c r="Q83" s="268" t="str">
        <f t="shared" si="126"/>
        <v/>
      </c>
      <c r="R83" s="118"/>
    </row>
    <row r="84" spans="1:18" ht="58" x14ac:dyDescent="0.35">
      <c r="A84" s="67" t="str">
        <f>IF(TRIM(G84)&lt;&gt;"",COUNTA(G$11:$G84)&amp;"","")</f>
        <v>54</v>
      </c>
      <c r="B84" s="311"/>
      <c r="C84" s="311"/>
      <c r="D84" s="30"/>
      <c r="E84" s="244" t="s">
        <v>253</v>
      </c>
      <c r="F84" s="239">
        <v>15.62</v>
      </c>
      <c r="G84" s="245" t="s">
        <v>177</v>
      </c>
      <c r="H84" s="21"/>
      <c r="I84" s="47"/>
      <c r="J84" s="265"/>
      <c r="K84" s="268"/>
      <c r="L84" s="258"/>
      <c r="M84" s="282"/>
      <c r="N84" s="22"/>
      <c r="O84" s="268"/>
      <c r="P84" s="23"/>
      <c r="Q84" s="268"/>
      <c r="R84" s="118"/>
    </row>
    <row r="85" spans="1:18" x14ac:dyDescent="0.35">
      <c r="A85" s="67" t="str">
        <f>IF(TRIM(G85)&lt;&gt;"",COUNTA(G$11:$G85)&amp;"","")</f>
        <v>55</v>
      </c>
      <c r="B85" s="311"/>
      <c r="C85" s="311"/>
      <c r="D85" s="30"/>
      <c r="E85" s="52" t="s">
        <v>237</v>
      </c>
      <c r="F85" s="69">
        <f>(F84*2.5*1)/27</f>
        <v>1.4462962962962962</v>
      </c>
      <c r="G85" s="70" t="s">
        <v>180</v>
      </c>
      <c r="H85" s="21">
        <v>0.1</v>
      </c>
      <c r="I85" s="47">
        <f t="shared" si="120"/>
        <v>1.5909259259259259</v>
      </c>
      <c r="J85" s="265">
        <v>210</v>
      </c>
      <c r="K85" s="268">
        <f t="shared" ref="K85:K87" si="136">IF(F85=0,"",J85*I85)</f>
        <v>334.09444444444443</v>
      </c>
      <c r="L85" s="258">
        <f t="shared" ref="L85:L87" si="137">IF(F85=0,"",L$28)</f>
        <v>52</v>
      </c>
      <c r="M85" s="282">
        <v>2.5</v>
      </c>
      <c r="N85" s="22">
        <f t="shared" si="123"/>
        <v>3.9773148148148145</v>
      </c>
      <c r="O85" s="268">
        <f t="shared" si="124"/>
        <v>206.82037037037037</v>
      </c>
      <c r="P85" s="23">
        <f t="shared" si="125"/>
        <v>340</v>
      </c>
      <c r="Q85" s="268">
        <f t="shared" si="126"/>
        <v>540.9148148148148</v>
      </c>
      <c r="R85" s="118"/>
    </row>
    <row r="86" spans="1:18" x14ac:dyDescent="0.35">
      <c r="A86" s="67" t="str">
        <f>IF(TRIM(G86)&lt;&gt;"",COUNTA(G$11:$G86)&amp;"","")</f>
        <v>56</v>
      </c>
      <c r="B86" s="311"/>
      <c r="C86" s="311"/>
      <c r="D86" s="30"/>
      <c r="E86" s="52" t="s">
        <v>245</v>
      </c>
      <c r="F86" s="69">
        <f>(F84/1)*2*1.043</f>
        <v>32.583319999999993</v>
      </c>
      <c r="G86" s="70" t="s">
        <v>240</v>
      </c>
      <c r="H86" s="21">
        <v>0.1</v>
      </c>
      <c r="I86" s="47">
        <f t="shared" si="120"/>
        <v>35.841651999999996</v>
      </c>
      <c r="J86" s="265">
        <v>0.93</v>
      </c>
      <c r="K86" s="268">
        <f t="shared" si="136"/>
        <v>33.332736359999998</v>
      </c>
      <c r="L86" s="258">
        <f t="shared" si="137"/>
        <v>52</v>
      </c>
      <c r="M86" s="282">
        <v>0.01</v>
      </c>
      <c r="N86" s="22">
        <f t="shared" si="123"/>
        <v>0.35841651999999996</v>
      </c>
      <c r="O86" s="268">
        <f t="shared" si="124"/>
        <v>18.637659039999999</v>
      </c>
      <c r="P86" s="23">
        <f t="shared" si="125"/>
        <v>1.4500000000000002</v>
      </c>
      <c r="Q86" s="268">
        <f t="shared" si="126"/>
        <v>51.970395400000001</v>
      </c>
      <c r="R86" s="118"/>
    </row>
    <row r="87" spans="1:18" x14ac:dyDescent="0.35">
      <c r="A87" s="67" t="str">
        <f>IF(TRIM(G87)&lt;&gt;"",COUNTA(G$11:$G87)&amp;"","")</f>
        <v>57</v>
      </c>
      <c r="B87" s="311"/>
      <c r="C87" s="311"/>
      <c r="D87" s="30"/>
      <c r="E87" s="52" t="s">
        <v>246</v>
      </c>
      <c r="F87" s="69">
        <f>(F84*0.668)</f>
        <v>10.43416</v>
      </c>
      <c r="G87" s="70" t="s">
        <v>240</v>
      </c>
      <c r="H87" s="21">
        <v>0.1</v>
      </c>
      <c r="I87" s="47">
        <f t="shared" si="105"/>
        <v>11.477576000000001</v>
      </c>
      <c r="J87" s="265">
        <v>0.93</v>
      </c>
      <c r="K87" s="268">
        <f t="shared" si="136"/>
        <v>10.674145680000001</v>
      </c>
      <c r="L87" s="258">
        <f t="shared" si="137"/>
        <v>52</v>
      </c>
      <c r="M87" s="282">
        <v>0.01</v>
      </c>
      <c r="N87" s="22">
        <f t="shared" si="110"/>
        <v>0.11477576</v>
      </c>
      <c r="O87" s="268">
        <f t="shared" si="111"/>
        <v>5.9683395200000007</v>
      </c>
      <c r="P87" s="23">
        <f t="shared" si="112"/>
        <v>1.4500000000000002</v>
      </c>
      <c r="Q87" s="268">
        <f t="shared" si="113"/>
        <v>16.642485200000003</v>
      </c>
      <c r="R87" s="118"/>
    </row>
    <row r="88" spans="1:18" x14ac:dyDescent="0.35">
      <c r="A88" s="67" t="str">
        <f>IF(TRIM(G88)&lt;&gt;"",COUNTA(G$11:$G88)&amp;"","")</f>
        <v>58</v>
      </c>
      <c r="B88" s="311"/>
      <c r="C88" s="311"/>
      <c r="D88" s="30"/>
      <c r="E88" s="52" t="s">
        <v>254</v>
      </c>
      <c r="F88" s="69">
        <f>(F84/2)*2.25*0.668</f>
        <v>11.738429999999999</v>
      </c>
      <c r="G88" s="70" t="s">
        <v>240</v>
      </c>
      <c r="H88" s="21">
        <v>0.1</v>
      </c>
      <c r="I88" s="47">
        <f t="shared" si="105"/>
        <v>12.912272999999999</v>
      </c>
      <c r="J88" s="265">
        <v>0.93</v>
      </c>
      <c r="K88" s="268">
        <f t="shared" si="69"/>
        <v>12.00841389</v>
      </c>
      <c r="L88" s="258">
        <f t="shared" si="70"/>
        <v>52</v>
      </c>
      <c r="M88" s="282">
        <v>0.01</v>
      </c>
      <c r="N88" s="22">
        <f t="shared" si="110"/>
        <v>0.12912272999999999</v>
      </c>
      <c r="O88" s="268">
        <f t="shared" si="111"/>
        <v>6.7143819599999999</v>
      </c>
      <c r="P88" s="23">
        <f t="shared" si="112"/>
        <v>1.4500000000000002</v>
      </c>
      <c r="Q88" s="268">
        <f t="shared" si="113"/>
        <v>18.722795850000001</v>
      </c>
      <c r="R88" s="118"/>
    </row>
    <row r="89" spans="1:18" x14ac:dyDescent="0.35">
      <c r="A89" s="67" t="str">
        <f>IF(TRIM(G89)&lt;&gt;"",COUNTA(G$11:$G89)&amp;"","")</f>
        <v>59</v>
      </c>
      <c r="B89" s="311"/>
      <c r="C89" s="311"/>
      <c r="D89" s="30"/>
      <c r="E89" s="52" t="s">
        <v>242</v>
      </c>
      <c r="F89" s="69">
        <f>(F84*1)*2</f>
        <v>31.24</v>
      </c>
      <c r="G89" s="70" t="s">
        <v>163</v>
      </c>
      <c r="H89" s="21">
        <v>0.1</v>
      </c>
      <c r="I89" s="47">
        <f t="shared" si="105"/>
        <v>34.363999999999997</v>
      </c>
      <c r="J89" s="265">
        <f t="shared" si="92"/>
        <v>0</v>
      </c>
      <c r="K89" s="268">
        <f t="shared" si="69"/>
        <v>0</v>
      </c>
      <c r="L89" s="258">
        <f t="shared" si="70"/>
        <v>52</v>
      </c>
      <c r="M89" s="282">
        <v>0.05</v>
      </c>
      <c r="N89" s="22">
        <f t="shared" si="110"/>
        <v>1.7181999999999999</v>
      </c>
      <c r="O89" s="268">
        <f t="shared" si="111"/>
        <v>89.346400000000003</v>
      </c>
      <c r="P89" s="23">
        <f t="shared" si="112"/>
        <v>2.6</v>
      </c>
      <c r="Q89" s="268">
        <f t="shared" si="113"/>
        <v>89.346400000000003</v>
      </c>
      <c r="R89" s="118"/>
    </row>
    <row r="90" spans="1:18" x14ac:dyDescent="0.35">
      <c r="A90" s="67" t="str">
        <f>IF(TRIM(G90)&lt;&gt;"",COUNTA(G$11:$G90)&amp;"","")</f>
        <v>60</v>
      </c>
      <c r="B90" s="311"/>
      <c r="C90" s="311"/>
      <c r="D90" s="30"/>
      <c r="E90" s="52" t="s">
        <v>181</v>
      </c>
      <c r="F90" s="69">
        <f>(F84*3.5*1)/27</f>
        <v>2.0248148148148144</v>
      </c>
      <c r="G90" s="70" t="s">
        <v>180</v>
      </c>
      <c r="H90" s="21">
        <v>0.1</v>
      </c>
      <c r="I90" s="47">
        <f t="shared" si="105"/>
        <v>2.2272962962962959</v>
      </c>
      <c r="J90" s="265">
        <f t="shared" si="92"/>
        <v>0</v>
      </c>
      <c r="K90" s="268">
        <f t="shared" si="69"/>
        <v>0</v>
      </c>
      <c r="L90" s="258">
        <f t="shared" si="70"/>
        <v>52</v>
      </c>
      <c r="M90" s="282">
        <v>0.38500000000000001</v>
      </c>
      <c r="N90" s="22">
        <f t="shared" si="110"/>
        <v>0.85750907407407395</v>
      </c>
      <c r="O90" s="268">
        <f t="shared" si="111"/>
        <v>44.590471851851845</v>
      </c>
      <c r="P90" s="23">
        <f t="shared" si="112"/>
        <v>20.02</v>
      </c>
      <c r="Q90" s="268">
        <f t="shared" si="113"/>
        <v>44.590471851851845</v>
      </c>
      <c r="R90" s="118"/>
    </row>
    <row r="91" spans="1:18" x14ac:dyDescent="0.35">
      <c r="A91" s="67" t="str">
        <f>IF(TRIM(G91)&lt;&gt;"",COUNTA(G$11:$G91)&amp;"","")</f>
        <v>61</v>
      </c>
      <c r="B91" s="311"/>
      <c r="C91" s="311"/>
      <c r="D91" s="30"/>
      <c r="E91" s="52" t="s">
        <v>182</v>
      </c>
      <c r="F91" s="69">
        <f>(F90-F85)*1.1</f>
        <v>0.63637037037037003</v>
      </c>
      <c r="G91" s="70" t="s">
        <v>180</v>
      </c>
      <c r="H91" s="21">
        <v>0.1</v>
      </c>
      <c r="I91" s="47">
        <f t="shared" si="68"/>
        <v>0.70000740740740708</v>
      </c>
      <c r="J91" s="265">
        <f t="shared" si="92"/>
        <v>0</v>
      </c>
      <c r="K91" s="268">
        <f t="shared" si="69"/>
        <v>0</v>
      </c>
      <c r="L91" s="258">
        <f t="shared" si="70"/>
        <v>52</v>
      </c>
      <c r="M91" s="282">
        <v>0.28499999999999998</v>
      </c>
      <c r="N91" s="22">
        <f t="shared" si="71"/>
        <v>0.19950211111111099</v>
      </c>
      <c r="O91" s="268">
        <f t="shared" si="72"/>
        <v>10.374109777777772</v>
      </c>
      <c r="P91" s="23">
        <f t="shared" si="73"/>
        <v>14.819999999999999</v>
      </c>
      <c r="Q91" s="268">
        <f t="shared" si="74"/>
        <v>10.374109777777772</v>
      </c>
      <c r="R91" s="118"/>
    </row>
    <row r="92" spans="1:18" x14ac:dyDescent="0.35">
      <c r="A92" s="67" t="str">
        <f>IF(TRIM(G92)&lt;&gt;"",COUNTA(G$11:$G92)&amp;"","")</f>
        <v/>
      </c>
      <c r="B92" s="311"/>
      <c r="C92" s="311"/>
      <c r="D92" s="30"/>
      <c r="E92" s="52"/>
      <c r="F92" s="69"/>
      <c r="G92" s="70"/>
      <c r="H92" s="21" t="str">
        <f t="shared" ref="H92:H115" si="138">IF(F92=0,"",0)</f>
        <v/>
      </c>
      <c r="I92" s="47" t="str">
        <f t="shared" si="68"/>
        <v/>
      </c>
      <c r="J92" s="265" t="str">
        <f t="shared" si="92"/>
        <v/>
      </c>
      <c r="K92" s="268" t="str">
        <f t="shared" si="69"/>
        <v/>
      </c>
      <c r="L92" s="258" t="str">
        <f t="shared" si="70"/>
        <v/>
      </c>
      <c r="M92" s="282" t="str">
        <f t="shared" si="93"/>
        <v/>
      </c>
      <c r="N92" s="22" t="str">
        <f t="shared" si="71"/>
        <v/>
      </c>
      <c r="O92" s="268" t="str">
        <f t="shared" si="72"/>
        <v/>
      </c>
      <c r="P92" s="23" t="str">
        <f t="shared" si="73"/>
        <v/>
      </c>
      <c r="Q92" s="268" t="str">
        <f t="shared" si="74"/>
        <v/>
      </c>
      <c r="R92" s="118"/>
    </row>
    <row r="93" spans="1:18" x14ac:dyDescent="0.35">
      <c r="A93" s="67" t="str">
        <f>IF(TRIM(G93)&lt;&gt;"",COUNTA(G$11:$G93)&amp;"","")</f>
        <v/>
      </c>
      <c r="B93" s="311"/>
      <c r="C93" s="311"/>
      <c r="D93" s="30"/>
      <c r="E93" s="244" t="s">
        <v>255</v>
      </c>
      <c r="F93" s="69"/>
      <c r="G93" s="70"/>
      <c r="H93" s="21" t="str">
        <f t="shared" si="138"/>
        <v/>
      </c>
      <c r="I93" s="47" t="str">
        <f t="shared" si="68"/>
        <v/>
      </c>
      <c r="J93" s="265" t="str">
        <f t="shared" si="92"/>
        <v/>
      </c>
      <c r="K93" s="268" t="str">
        <f t="shared" si="69"/>
        <v/>
      </c>
      <c r="L93" s="258" t="str">
        <f t="shared" si="70"/>
        <v/>
      </c>
      <c r="M93" s="282" t="str">
        <f t="shared" si="93"/>
        <v/>
      </c>
      <c r="N93" s="22" t="str">
        <f t="shared" si="71"/>
        <v/>
      </c>
      <c r="O93" s="268" t="str">
        <f t="shared" si="72"/>
        <v/>
      </c>
      <c r="P93" s="23" t="str">
        <f t="shared" si="73"/>
        <v/>
      </c>
      <c r="Q93" s="268" t="str">
        <f t="shared" si="74"/>
        <v/>
      </c>
      <c r="R93" s="118"/>
    </row>
    <row r="94" spans="1:18" x14ac:dyDescent="0.35">
      <c r="A94" s="67" t="str">
        <f>IF(TRIM(G94)&lt;&gt;"",COUNTA(G$11:$G94)&amp;"","")</f>
        <v>62</v>
      </c>
      <c r="B94" s="311"/>
      <c r="C94" s="311"/>
      <c r="D94" s="30"/>
      <c r="E94" s="52" t="s">
        <v>256</v>
      </c>
      <c r="F94" s="69">
        <v>26.24</v>
      </c>
      <c r="G94" s="70" t="s">
        <v>177</v>
      </c>
      <c r="H94" s="21">
        <v>0.1</v>
      </c>
      <c r="I94" s="47">
        <f t="shared" si="68"/>
        <v>28.863999999999997</v>
      </c>
      <c r="J94" s="265">
        <v>0.2</v>
      </c>
      <c r="K94" s="268">
        <f t="shared" si="69"/>
        <v>5.7728000000000002</v>
      </c>
      <c r="L94" s="258">
        <f t="shared" si="70"/>
        <v>52</v>
      </c>
      <c r="M94" s="282">
        <v>1.6E-2</v>
      </c>
      <c r="N94" s="22">
        <f t="shared" si="71"/>
        <v>0.46182399999999996</v>
      </c>
      <c r="O94" s="268">
        <f t="shared" si="72"/>
        <v>24.014847999999997</v>
      </c>
      <c r="P94" s="23">
        <f t="shared" si="73"/>
        <v>1.032</v>
      </c>
      <c r="Q94" s="268">
        <f t="shared" si="74"/>
        <v>29.787647999999997</v>
      </c>
      <c r="R94" s="118"/>
    </row>
    <row r="95" spans="1:18" x14ac:dyDescent="0.35">
      <c r="A95" s="67" t="str">
        <f>IF(TRIM(G95)&lt;&gt;"",COUNTA(G$11:$G95)&amp;"","")</f>
        <v/>
      </c>
      <c r="B95" s="311"/>
      <c r="C95" s="311"/>
      <c r="D95" s="30"/>
      <c r="E95" s="52"/>
      <c r="F95" s="69"/>
      <c r="G95" s="70"/>
      <c r="H95" s="21" t="str">
        <f t="shared" si="138"/>
        <v/>
      </c>
      <c r="I95" s="47" t="str">
        <f t="shared" si="68"/>
        <v/>
      </c>
      <c r="J95" s="265" t="str">
        <f t="shared" si="92"/>
        <v/>
      </c>
      <c r="K95" s="268" t="str">
        <f t="shared" si="69"/>
        <v/>
      </c>
      <c r="L95" s="258" t="str">
        <f t="shared" si="70"/>
        <v/>
      </c>
      <c r="M95" s="282" t="str">
        <f t="shared" si="93"/>
        <v/>
      </c>
      <c r="N95" s="22" t="str">
        <f t="shared" si="71"/>
        <v/>
      </c>
      <c r="O95" s="268" t="str">
        <f t="shared" si="72"/>
        <v/>
      </c>
      <c r="P95" s="23" t="str">
        <f t="shared" si="73"/>
        <v/>
      </c>
      <c r="Q95" s="268" t="str">
        <f t="shared" si="74"/>
        <v/>
      </c>
      <c r="R95" s="118"/>
    </row>
    <row r="96" spans="1:18" x14ac:dyDescent="0.35">
      <c r="A96" s="67" t="str">
        <f>IF(TRIM(G96)&lt;&gt;"",COUNTA(G$11:$G96)&amp;"","")</f>
        <v/>
      </c>
      <c r="B96" s="311"/>
      <c r="C96" s="311"/>
      <c r="D96" s="30"/>
      <c r="E96" s="248" t="s">
        <v>603</v>
      </c>
      <c r="F96" s="69"/>
      <c r="G96" s="70"/>
      <c r="H96" s="21"/>
      <c r="I96" s="47"/>
      <c r="J96" s="265"/>
      <c r="K96" s="268"/>
      <c r="L96" s="258"/>
      <c r="M96" s="282"/>
      <c r="N96" s="22"/>
      <c r="O96" s="268"/>
      <c r="P96" s="23"/>
      <c r="Q96" s="268"/>
      <c r="R96" s="118"/>
    </row>
    <row r="97" spans="1:18" ht="29" x14ac:dyDescent="0.35">
      <c r="A97" s="67" t="str">
        <f>IF(TRIM(G97)&lt;&gt;"",COUNTA(G$11:$G97)&amp;"","")</f>
        <v>63</v>
      </c>
      <c r="B97" s="311"/>
      <c r="C97" s="311"/>
      <c r="D97" s="30" t="s">
        <v>295</v>
      </c>
      <c r="E97" s="244" t="s">
        <v>297</v>
      </c>
      <c r="F97" s="239">
        <v>4</v>
      </c>
      <c r="G97" s="245" t="s">
        <v>211</v>
      </c>
      <c r="H97" s="21"/>
      <c r="I97" s="47"/>
      <c r="J97" s="265"/>
      <c r="K97" s="268"/>
      <c r="L97" s="258"/>
      <c r="M97" s="282"/>
      <c r="N97" s="22"/>
      <c r="O97" s="268"/>
      <c r="P97" s="23"/>
      <c r="Q97" s="268"/>
      <c r="R97" s="118"/>
    </row>
    <row r="98" spans="1:18" x14ac:dyDescent="0.35">
      <c r="A98" s="67" t="str">
        <f>IF(TRIM(G98)&lt;&gt;"",COUNTA(G$11:$G98)&amp;"","")</f>
        <v>64</v>
      </c>
      <c r="B98" s="311"/>
      <c r="C98" s="311"/>
      <c r="D98" s="30"/>
      <c r="E98" s="52" t="s">
        <v>237</v>
      </c>
      <c r="F98" s="246">
        <f>(F97*1.33*1.33*1)/27</f>
        <v>0.26205925925925927</v>
      </c>
      <c r="G98" s="70" t="s">
        <v>180</v>
      </c>
      <c r="H98" s="21">
        <v>0.1</v>
      </c>
      <c r="I98" s="47">
        <f t="shared" ref="I98" si="139">IF(F98=0,"",F98+(F98*H98))</f>
        <v>0.28826518518518518</v>
      </c>
      <c r="J98" s="265">
        <v>210</v>
      </c>
      <c r="K98" s="268">
        <f t="shared" ref="K98:K99" si="140">IF(F98=0,"",J98*I98)</f>
        <v>60.535688888888885</v>
      </c>
      <c r="L98" s="258">
        <f t="shared" ref="L98:L99" si="141">IF(F98=0,"",L$28)</f>
        <v>52</v>
      </c>
      <c r="M98" s="282">
        <v>2.5</v>
      </c>
      <c r="N98" s="22">
        <f t="shared" ref="N98" si="142">IF(F98=0,"",M98*I98)</f>
        <v>0.72066296296296295</v>
      </c>
      <c r="O98" s="268">
        <f t="shared" ref="O98" si="143">IF(F98=0,"",N98*L98)</f>
        <v>37.474474074074074</v>
      </c>
      <c r="P98" s="23">
        <f t="shared" ref="P98" si="144">IF(F98=0,"",(K98+O98)/I98)</f>
        <v>340</v>
      </c>
      <c r="Q98" s="268">
        <f t="shared" ref="Q98" si="145">IF(F98=0,"",(P98*I98))</f>
        <v>98.010162962962966</v>
      </c>
      <c r="R98" s="118"/>
    </row>
    <row r="99" spans="1:18" x14ac:dyDescent="0.35">
      <c r="A99" s="67" t="str">
        <f>IF(TRIM(G99)&lt;&gt;"",COUNTA(G$11:$G99)&amp;"","")</f>
        <v>65</v>
      </c>
      <c r="B99" s="311"/>
      <c r="C99" s="311"/>
      <c r="D99" s="30"/>
      <c r="E99" s="52" t="s">
        <v>296</v>
      </c>
      <c r="F99" s="69">
        <f>(F97*1.08)*2*0.668</f>
        <v>5.7715200000000006</v>
      </c>
      <c r="G99" s="70" t="s">
        <v>240</v>
      </c>
      <c r="H99" s="21">
        <v>0.1</v>
      </c>
      <c r="I99" s="47">
        <f t="shared" ref="I99" si="146">IF(F99=0,"",F99+(F99*H99))</f>
        <v>6.3486720000000005</v>
      </c>
      <c r="J99" s="265">
        <v>0.93</v>
      </c>
      <c r="K99" s="268">
        <f t="shared" si="140"/>
        <v>5.9042649600000008</v>
      </c>
      <c r="L99" s="258">
        <f t="shared" si="141"/>
        <v>52</v>
      </c>
      <c r="M99" s="282">
        <v>0.01</v>
      </c>
      <c r="N99" s="22">
        <f t="shared" ref="N99" si="147">IF(F99=0,"",M99*I99)</f>
        <v>6.348672000000001E-2</v>
      </c>
      <c r="O99" s="268">
        <f t="shared" ref="O99" si="148">IF(F99=0,"",N99*L99)</f>
        <v>3.3013094400000007</v>
      </c>
      <c r="P99" s="23">
        <f t="shared" ref="P99" si="149">IF(F99=0,"",(K99+O99)/I99)</f>
        <v>1.4500000000000002</v>
      </c>
      <c r="Q99" s="268">
        <f t="shared" ref="Q99" si="150">IF(F99=0,"",(P99*I99))</f>
        <v>9.2055744000000015</v>
      </c>
      <c r="R99" s="118"/>
    </row>
    <row r="100" spans="1:18" x14ac:dyDescent="0.35">
      <c r="A100" s="67" t="str">
        <f>IF(TRIM(G100)&lt;&gt;"",COUNTA(G$11:$G100)&amp;"","")</f>
        <v>66</v>
      </c>
      <c r="B100" s="311"/>
      <c r="C100" s="311"/>
      <c r="D100" s="30"/>
      <c r="E100" s="52" t="s">
        <v>242</v>
      </c>
      <c r="F100" s="69">
        <f>(1.33+1.33+1.33+1.33)*1*F97</f>
        <v>21.28</v>
      </c>
      <c r="G100" s="70" t="s">
        <v>163</v>
      </c>
      <c r="H100" s="21">
        <v>0.1</v>
      </c>
      <c r="I100" s="47">
        <f t="shared" ref="I100" si="151">IF(F100=0,"",F100+(F100*H100))</f>
        <v>23.408000000000001</v>
      </c>
      <c r="J100" s="265">
        <f t="shared" ref="J100" si="152">IF(F100=0,"",0)</f>
        <v>0</v>
      </c>
      <c r="K100" s="268">
        <f t="shared" ref="K100" si="153">IF(F100=0,"",J100*I100)</f>
        <v>0</v>
      </c>
      <c r="L100" s="258">
        <f t="shared" ref="L100" si="154">IF(F100=0,"",L$28)</f>
        <v>52</v>
      </c>
      <c r="M100" s="282">
        <v>0.05</v>
      </c>
      <c r="N100" s="22">
        <f t="shared" ref="N100" si="155">IF(F100=0,"",M100*I100)</f>
        <v>1.1704000000000001</v>
      </c>
      <c r="O100" s="268">
        <f t="shared" ref="O100" si="156">IF(F100=0,"",N100*L100)</f>
        <v>60.860800000000005</v>
      </c>
      <c r="P100" s="23">
        <f t="shared" ref="P100" si="157">IF(F100=0,"",(K100+O100)/I100)</f>
        <v>2.6</v>
      </c>
      <c r="Q100" s="268">
        <f t="shared" ref="Q100" si="158">IF(F100=0,"",(P100*I100))</f>
        <v>60.860800000000005</v>
      </c>
      <c r="R100" s="118"/>
    </row>
    <row r="101" spans="1:18" x14ac:dyDescent="0.35">
      <c r="A101" s="67" t="str">
        <f>IF(TRIM(G101)&lt;&gt;"",COUNTA(G$11:$G101)&amp;"","")</f>
        <v>67</v>
      </c>
      <c r="B101" s="311"/>
      <c r="C101" s="311"/>
      <c r="D101" s="30"/>
      <c r="E101" s="52" t="s">
        <v>181</v>
      </c>
      <c r="F101" s="246">
        <f>(1.83*1.83*1*F97)/27</f>
        <v>0.49613333333333337</v>
      </c>
      <c r="G101" s="70" t="s">
        <v>180</v>
      </c>
      <c r="H101" s="21">
        <v>0.1</v>
      </c>
      <c r="I101" s="47">
        <f t="shared" ref="I101:I102" si="159">IF(F101=0,"",F101+(F101*H101))</f>
        <v>0.54574666666666671</v>
      </c>
      <c r="J101" s="265">
        <f t="shared" ref="J101:J102" si="160">IF(F101=0,"",0)</f>
        <v>0</v>
      </c>
      <c r="K101" s="268">
        <f t="shared" ref="K101:K102" si="161">IF(F101=0,"",J101*I101)</f>
        <v>0</v>
      </c>
      <c r="L101" s="258">
        <f t="shared" ref="L101:L102" si="162">IF(F101=0,"",L$28)</f>
        <v>52</v>
      </c>
      <c r="M101" s="282">
        <v>0.38500000000000001</v>
      </c>
      <c r="N101" s="22">
        <f t="shared" ref="N101:N102" si="163">IF(F101=0,"",M101*I101)</f>
        <v>0.21011246666666669</v>
      </c>
      <c r="O101" s="268">
        <f t="shared" ref="O101:O102" si="164">IF(F101=0,"",N101*L101)</f>
        <v>10.925848266666668</v>
      </c>
      <c r="P101" s="23">
        <f t="shared" ref="P101:P102" si="165">IF(F101=0,"",(K101+O101)/I101)</f>
        <v>20.02</v>
      </c>
      <c r="Q101" s="268">
        <f t="shared" ref="Q101:Q102" si="166">IF(F101=0,"",(P101*I101))</f>
        <v>10.925848266666668</v>
      </c>
      <c r="R101" s="118"/>
    </row>
    <row r="102" spans="1:18" x14ac:dyDescent="0.35">
      <c r="A102" s="67" t="str">
        <f>IF(TRIM(G102)&lt;&gt;"",COUNTA(G$11:$G102)&amp;"","")</f>
        <v>68</v>
      </c>
      <c r="B102" s="311"/>
      <c r="C102" s="311"/>
      <c r="D102" s="30"/>
      <c r="E102" s="52" t="s">
        <v>182</v>
      </c>
      <c r="F102" s="246">
        <f>(F101-F98)*1.1</f>
        <v>0.25748148148148153</v>
      </c>
      <c r="G102" s="70" t="s">
        <v>180</v>
      </c>
      <c r="H102" s="21">
        <v>0.1</v>
      </c>
      <c r="I102" s="47">
        <f t="shared" si="159"/>
        <v>0.28322962962962966</v>
      </c>
      <c r="J102" s="265">
        <f t="shared" si="160"/>
        <v>0</v>
      </c>
      <c r="K102" s="268">
        <f t="shared" si="161"/>
        <v>0</v>
      </c>
      <c r="L102" s="258">
        <f t="shared" si="162"/>
        <v>52</v>
      </c>
      <c r="M102" s="282">
        <v>0.28499999999999998</v>
      </c>
      <c r="N102" s="22">
        <f t="shared" si="163"/>
        <v>8.0720444444444442E-2</v>
      </c>
      <c r="O102" s="268">
        <f t="shared" si="164"/>
        <v>4.1974631111111114</v>
      </c>
      <c r="P102" s="23">
        <f t="shared" si="165"/>
        <v>14.819999999999999</v>
      </c>
      <c r="Q102" s="268">
        <f t="shared" si="166"/>
        <v>4.1974631111111114</v>
      </c>
      <c r="R102" s="118"/>
    </row>
    <row r="103" spans="1:18" x14ac:dyDescent="0.35">
      <c r="A103" s="67" t="str">
        <f>IF(TRIM(G103)&lt;&gt;"",COUNTA(G$11:$G103)&amp;"","")</f>
        <v/>
      </c>
      <c r="B103" s="311"/>
      <c r="C103" s="311"/>
      <c r="D103" s="30"/>
      <c r="E103" s="52"/>
      <c r="F103" s="69"/>
      <c r="G103" s="70"/>
      <c r="H103" s="21"/>
      <c r="I103" s="47"/>
      <c r="J103" s="265"/>
      <c r="K103" s="268"/>
      <c r="L103" s="258"/>
      <c r="M103" s="282"/>
      <c r="N103" s="22"/>
      <c r="O103" s="268"/>
      <c r="P103" s="23"/>
      <c r="Q103" s="268"/>
      <c r="R103" s="118"/>
    </row>
    <row r="104" spans="1:18" x14ac:dyDescent="0.35">
      <c r="A104" s="67" t="str">
        <f>IF(TRIM(G104)&lt;&gt;"",COUNTA(G$11:$G104)&amp;"","")</f>
        <v/>
      </c>
      <c r="B104" s="311"/>
      <c r="C104" s="311"/>
      <c r="D104" s="30"/>
      <c r="E104" s="248" t="s">
        <v>257</v>
      </c>
      <c r="F104" s="69"/>
      <c r="G104" s="70"/>
      <c r="H104" s="21" t="str">
        <f t="shared" si="138"/>
        <v/>
      </c>
      <c r="I104" s="47" t="str">
        <f t="shared" si="68"/>
        <v/>
      </c>
      <c r="J104" s="265" t="str">
        <f t="shared" si="92"/>
        <v/>
      </c>
      <c r="K104" s="268" t="str">
        <f t="shared" si="69"/>
        <v/>
      </c>
      <c r="L104" s="258" t="str">
        <f t="shared" si="70"/>
        <v/>
      </c>
      <c r="M104" s="282" t="str">
        <f t="shared" si="93"/>
        <v/>
      </c>
      <c r="N104" s="22" t="str">
        <f t="shared" si="71"/>
        <v/>
      </c>
      <c r="O104" s="268" t="str">
        <f t="shared" si="72"/>
        <v/>
      </c>
      <c r="P104" s="23" t="str">
        <f t="shared" si="73"/>
        <v/>
      </c>
      <c r="Q104" s="268" t="str">
        <f t="shared" si="74"/>
        <v/>
      </c>
      <c r="R104" s="118"/>
    </row>
    <row r="105" spans="1:18" x14ac:dyDescent="0.35">
      <c r="A105" s="67" t="str">
        <f>IF(TRIM(G105)&lt;&gt;"",COUNTA(G$11:$G105)&amp;"","")</f>
        <v>69</v>
      </c>
      <c r="B105" s="311"/>
      <c r="C105" s="311"/>
      <c r="D105" s="30"/>
      <c r="E105" s="244" t="s">
        <v>258</v>
      </c>
      <c r="F105" s="239">
        <f>(528.59+21.72)</f>
        <v>550.31000000000006</v>
      </c>
      <c r="G105" s="245" t="s">
        <v>163</v>
      </c>
      <c r="H105" s="21"/>
      <c r="I105" s="47"/>
      <c r="J105" s="265"/>
      <c r="K105" s="268"/>
      <c r="L105" s="258"/>
      <c r="M105" s="282"/>
      <c r="N105" s="22"/>
      <c r="O105" s="268"/>
      <c r="P105" s="23"/>
      <c r="Q105" s="268"/>
      <c r="R105" s="118"/>
    </row>
    <row r="106" spans="1:18" x14ac:dyDescent="0.35">
      <c r="A106" s="67" t="str">
        <f>IF(TRIM(G106)&lt;&gt;"",COUNTA(G$11:$G106)&amp;"","")</f>
        <v>70</v>
      </c>
      <c r="B106" s="311"/>
      <c r="C106" s="311"/>
      <c r="D106" s="30"/>
      <c r="E106" s="52" t="s">
        <v>237</v>
      </c>
      <c r="F106" s="69">
        <f>(F105*0.33)/27</f>
        <v>6.7260111111111129</v>
      </c>
      <c r="G106" s="70" t="s">
        <v>180</v>
      </c>
      <c r="H106" s="21">
        <v>0.1</v>
      </c>
      <c r="I106" s="47">
        <f t="shared" ref="I106:I112" si="167">IF(F106=0,"",F106+(F106*H106))</f>
        <v>7.3986122222222246</v>
      </c>
      <c r="J106" s="265">
        <v>210</v>
      </c>
      <c r="K106" s="268">
        <f t="shared" ref="K106" si="168">IF(F106=0,"",J106*I106)</f>
        <v>1553.7085666666671</v>
      </c>
      <c r="L106" s="258">
        <f t="shared" ref="L106" si="169">IF(F106=0,"",L$28)</f>
        <v>52</v>
      </c>
      <c r="M106" s="282">
        <v>2.5</v>
      </c>
      <c r="N106" s="22">
        <f t="shared" ref="N106:N112" si="170">IF(F106=0,"",M106*I106)</f>
        <v>18.496530555555562</v>
      </c>
      <c r="O106" s="268">
        <f t="shared" ref="O106:O112" si="171">IF(F106=0,"",N106*L106)</f>
        <v>961.81958888888926</v>
      </c>
      <c r="P106" s="23">
        <f t="shared" ref="P106:P112" si="172">IF(F106=0,"",(K106+O106)/I106)</f>
        <v>340.00000000000006</v>
      </c>
      <c r="Q106" s="268">
        <f t="shared" ref="Q106:Q112" si="173">IF(F106=0,"",(P106*I106))</f>
        <v>2515.5281555555566</v>
      </c>
      <c r="R106" s="118"/>
    </row>
    <row r="107" spans="1:18" x14ac:dyDescent="0.35">
      <c r="A107" s="67" t="str">
        <f>IF(TRIM(G107)&lt;&gt;"",COUNTA(G$11:$G107)&amp;"","")</f>
        <v>71</v>
      </c>
      <c r="B107" s="311"/>
      <c r="C107" s="311"/>
      <c r="D107" s="30"/>
      <c r="E107" s="52" t="s">
        <v>242</v>
      </c>
      <c r="F107" s="69">
        <f>185*0.33</f>
        <v>61.050000000000004</v>
      </c>
      <c r="G107" s="70" t="s">
        <v>163</v>
      </c>
      <c r="H107" s="21">
        <v>0.1</v>
      </c>
      <c r="I107" s="47">
        <f t="shared" si="167"/>
        <v>67.155000000000001</v>
      </c>
      <c r="J107" s="265">
        <f t="shared" ref="J107:J112" si="174">IF(F107=0,"",0)</f>
        <v>0</v>
      </c>
      <c r="K107" s="268">
        <f t="shared" ref="K107:K112" si="175">IF(F107=0,"",J107*I107)</f>
        <v>0</v>
      </c>
      <c r="L107" s="258">
        <f t="shared" ref="L107:L112" si="176">IF(F107=0,"",L$28)</f>
        <v>52</v>
      </c>
      <c r="M107" s="282">
        <v>0.05</v>
      </c>
      <c r="N107" s="22">
        <f t="shared" si="170"/>
        <v>3.3577500000000002</v>
      </c>
      <c r="O107" s="268">
        <f t="shared" si="171"/>
        <v>174.60300000000001</v>
      </c>
      <c r="P107" s="23">
        <f t="shared" si="172"/>
        <v>2.6</v>
      </c>
      <c r="Q107" s="268">
        <f t="shared" si="173"/>
        <v>174.60300000000001</v>
      </c>
      <c r="R107" s="118"/>
    </row>
    <row r="108" spans="1:18" x14ac:dyDescent="0.35">
      <c r="A108" s="67" t="str">
        <f>IF(TRIM(G108)&lt;&gt;"",COUNTA(G$11:$G108)&amp;"","")</f>
        <v>72</v>
      </c>
      <c r="B108" s="311"/>
      <c r="C108" s="311"/>
      <c r="D108" s="30" t="s">
        <v>260</v>
      </c>
      <c r="E108" s="52" t="s">
        <v>259</v>
      </c>
      <c r="F108" s="69">
        <f>F105</f>
        <v>550.31000000000006</v>
      </c>
      <c r="G108" s="70" t="s">
        <v>163</v>
      </c>
      <c r="H108" s="21">
        <v>0.1</v>
      </c>
      <c r="I108" s="47">
        <f t="shared" si="167"/>
        <v>605.34100000000012</v>
      </c>
      <c r="J108" s="265">
        <v>0.2</v>
      </c>
      <c r="K108" s="268">
        <f t="shared" si="175"/>
        <v>121.06820000000003</v>
      </c>
      <c r="L108" s="258">
        <f t="shared" si="176"/>
        <v>52</v>
      </c>
      <c r="M108" s="282">
        <v>3.0000000000000001E-3</v>
      </c>
      <c r="N108" s="22">
        <f t="shared" si="170"/>
        <v>1.8160230000000004</v>
      </c>
      <c r="O108" s="268">
        <f t="shared" si="171"/>
        <v>94.433196000000024</v>
      </c>
      <c r="P108" s="23">
        <f t="shared" si="172"/>
        <v>0.35600000000000004</v>
      </c>
      <c r="Q108" s="268">
        <f t="shared" si="173"/>
        <v>215.50139600000006</v>
      </c>
      <c r="R108" s="118"/>
    </row>
    <row r="109" spans="1:18" x14ac:dyDescent="0.35">
      <c r="A109" s="67" t="str">
        <f>IF(TRIM(G109)&lt;&gt;"",COUNTA(G$11:$G109)&amp;"","")</f>
        <v>73</v>
      </c>
      <c r="B109" s="311"/>
      <c r="C109" s="311"/>
      <c r="D109" s="30"/>
      <c r="E109" s="52" t="s">
        <v>261</v>
      </c>
      <c r="F109" s="69">
        <f>(F105*0.33)/27</f>
        <v>6.7260111111111129</v>
      </c>
      <c r="G109" s="70" t="s">
        <v>180</v>
      </c>
      <c r="H109" s="21">
        <v>0.1</v>
      </c>
      <c r="I109" s="47">
        <f t="shared" si="167"/>
        <v>7.3986122222222246</v>
      </c>
      <c r="J109" s="265">
        <v>38</v>
      </c>
      <c r="K109" s="268">
        <f t="shared" si="175"/>
        <v>281.14726444444455</v>
      </c>
      <c r="L109" s="258">
        <f t="shared" si="176"/>
        <v>52</v>
      </c>
      <c r="M109" s="282">
        <v>0.67500000000000004</v>
      </c>
      <c r="N109" s="22">
        <f t="shared" si="170"/>
        <v>4.9940632500000017</v>
      </c>
      <c r="O109" s="268">
        <f t="shared" si="171"/>
        <v>259.6912890000001</v>
      </c>
      <c r="P109" s="23">
        <f t="shared" si="172"/>
        <v>73.100000000000009</v>
      </c>
      <c r="Q109" s="268">
        <f t="shared" si="173"/>
        <v>540.83855344444464</v>
      </c>
      <c r="R109" s="118"/>
    </row>
    <row r="110" spans="1:18" x14ac:dyDescent="0.35">
      <c r="A110" s="67" t="str">
        <f>IF(TRIM(G110)&lt;&gt;"",COUNTA(G$11:$G110)&amp;"","")</f>
        <v>74</v>
      </c>
      <c r="B110" s="311"/>
      <c r="C110" s="311"/>
      <c r="D110" s="30"/>
      <c r="E110" s="52" t="s">
        <v>262</v>
      </c>
      <c r="F110" s="69">
        <f>F105</f>
        <v>550.31000000000006</v>
      </c>
      <c r="G110" s="70" t="s">
        <v>163</v>
      </c>
      <c r="H110" s="21">
        <v>0.1</v>
      </c>
      <c r="I110" s="47">
        <f t="shared" si="167"/>
        <v>605.34100000000012</v>
      </c>
      <c r="J110" s="265">
        <v>0.36</v>
      </c>
      <c r="K110" s="268">
        <f t="shared" si="175"/>
        <v>217.92276000000004</v>
      </c>
      <c r="L110" s="258">
        <f t="shared" si="176"/>
        <v>52</v>
      </c>
      <c r="M110" s="282">
        <v>4.0000000000000001E-3</v>
      </c>
      <c r="N110" s="22">
        <f t="shared" si="170"/>
        <v>2.4213640000000005</v>
      </c>
      <c r="O110" s="268">
        <f t="shared" si="171"/>
        <v>125.91092800000003</v>
      </c>
      <c r="P110" s="23">
        <f t="shared" si="172"/>
        <v>0.56799999999999995</v>
      </c>
      <c r="Q110" s="268">
        <f t="shared" si="173"/>
        <v>343.83368800000005</v>
      </c>
      <c r="R110" s="118"/>
    </row>
    <row r="111" spans="1:18" x14ac:dyDescent="0.35">
      <c r="A111" s="67" t="str">
        <f>IF(TRIM(G111)&lt;&gt;"",COUNTA(G$11:$G111)&amp;"","")</f>
        <v>75</v>
      </c>
      <c r="B111" s="311"/>
      <c r="C111" s="311"/>
      <c r="D111" s="30"/>
      <c r="E111" s="52" t="s">
        <v>263</v>
      </c>
      <c r="F111" s="69">
        <f>F105</f>
        <v>550.31000000000006</v>
      </c>
      <c r="G111" s="70" t="s">
        <v>163</v>
      </c>
      <c r="H111" s="21">
        <v>0.1</v>
      </c>
      <c r="I111" s="47">
        <f t="shared" si="167"/>
        <v>605.34100000000012</v>
      </c>
      <c r="J111" s="265">
        <f t="shared" si="174"/>
        <v>0</v>
      </c>
      <c r="K111" s="268">
        <f t="shared" si="175"/>
        <v>0</v>
      </c>
      <c r="L111" s="258">
        <f t="shared" si="176"/>
        <v>52</v>
      </c>
      <c r="M111" s="282">
        <v>6.0000000000000001E-3</v>
      </c>
      <c r="N111" s="22">
        <f t="shared" si="170"/>
        <v>3.6320460000000008</v>
      </c>
      <c r="O111" s="268">
        <f t="shared" si="171"/>
        <v>188.86639200000005</v>
      </c>
      <c r="P111" s="23">
        <f t="shared" si="172"/>
        <v>0.312</v>
      </c>
      <c r="Q111" s="268">
        <f t="shared" si="173"/>
        <v>188.86639200000005</v>
      </c>
      <c r="R111" s="118"/>
    </row>
    <row r="112" spans="1:18" x14ac:dyDescent="0.35">
      <c r="A112" s="67" t="str">
        <f>IF(TRIM(G112)&lt;&gt;"",COUNTA(G$11:$G112)&amp;"","")</f>
        <v/>
      </c>
      <c r="B112" s="311"/>
      <c r="C112" s="311"/>
      <c r="D112" s="30"/>
      <c r="E112" s="52"/>
      <c r="F112" s="69"/>
      <c r="G112" s="70"/>
      <c r="H112" s="21" t="str">
        <f t="shared" ref="H112" si="177">IF(F112=0,"",0)</f>
        <v/>
      </c>
      <c r="I112" s="47" t="str">
        <f t="shared" si="167"/>
        <v/>
      </c>
      <c r="J112" s="265" t="str">
        <f t="shared" si="174"/>
        <v/>
      </c>
      <c r="K112" s="268" t="str">
        <f t="shared" si="175"/>
        <v/>
      </c>
      <c r="L112" s="258" t="str">
        <f t="shared" si="176"/>
        <v/>
      </c>
      <c r="M112" s="282" t="str">
        <f t="shared" ref="M112" si="178">IF(F112=0,"",0)</f>
        <v/>
      </c>
      <c r="N112" s="22" t="str">
        <f t="shared" si="170"/>
        <v/>
      </c>
      <c r="O112" s="268" t="str">
        <f t="shared" si="171"/>
        <v/>
      </c>
      <c r="P112" s="23" t="str">
        <f t="shared" si="172"/>
        <v/>
      </c>
      <c r="Q112" s="268" t="str">
        <f t="shared" si="173"/>
        <v/>
      </c>
      <c r="R112" s="118"/>
    </row>
    <row r="113" spans="1:18" x14ac:dyDescent="0.35">
      <c r="A113" s="67" t="str">
        <f>IF(TRIM(G113)&lt;&gt;"",COUNTA(G$11:$G113)&amp;"","")</f>
        <v/>
      </c>
      <c r="B113" s="311"/>
      <c r="C113" s="311"/>
      <c r="D113" s="30"/>
      <c r="E113" s="244" t="s">
        <v>576</v>
      </c>
      <c r="F113" s="69"/>
      <c r="G113" s="70"/>
      <c r="H113" s="21" t="str">
        <f t="shared" si="138"/>
        <v/>
      </c>
      <c r="I113" s="47" t="str">
        <f t="shared" ref="I113:I117" si="179">IF(F113=0,"",F113+(F113*H113))</f>
        <v/>
      </c>
      <c r="J113" s="265" t="str">
        <f t="shared" ref="J113:J115" si="180">IF(F113=0,"",0)</f>
        <v/>
      </c>
      <c r="K113" s="268" t="str">
        <f t="shared" ref="K113:K117" si="181">IF(F113=0,"",J113*I113)</f>
        <v/>
      </c>
      <c r="L113" s="258" t="str">
        <f t="shared" ref="L113:L117" si="182">IF(F113=0,"",L$28)</f>
        <v/>
      </c>
      <c r="M113" s="282" t="str">
        <f t="shared" ref="M113:M115" si="183">IF(F113=0,"",0)</f>
        <v/>
      </c>
      <c r="N113" s="22" t="str">
        <f t="shared" ref="N113:N117" si="184">IF(F113=0,"",M113*I113)</f>
        <v/>
      </c>
      <c r="O113" s="268" t="str">
        <f t="shared" ref="O113:O117" si="185">IF(F113=0,"",N113*L113)</f>
        <v/>
      </c>
      <c r="P113" s="23" t="str">
        <f t="shared" ref="P113:P117" si="186">IF(F113=0,"",(K113+O113)/I113)</f>
        <v/>
      </c>
      <c r="Q113" s="268" t="str">
        <f t="shared" ref="Q113:Q117" si="187">IF(F113=0,"",(P113*I113))</f>
        <v/>
      </c>
      <c r="R113" s="118"/>
    </row>
    <row r="114" spans="1:18" x14ac:dyDescent="0.35">
      <c r="A114" s="67" t="str">
        <f>IF(TRIM(G114)&lt;&gt;"",COUNTA(G$11:$G114)&amp;"","")</f>
        <v>76</v>
      </c>
      <c r="B114" s="311"/>
      <c r="C114" s="311"/>
      <c r="D114" s="30"/>
      <c r="E114" s="52" t="s">
        <v>237</v>
      </c>
      <c r="F114" s="69">
        <f>(((185.19*0.97)/27)+(19*0.22)/27)</f>
        <v>6.8079370370370365</v>
      </c>
      <c r="G114" s="70" t="s">
        <v>180</v>
      </c>
      <c r="H114" s="21">
        <v>0.1</v>
      </c>
      <c r="I114" s="47">
        <f t="shared" si="179"/>
        <v>7.4887307407407402</v>
      </c>
      <c r="J114" s="265">
        <v>210</v>
      </c>
      <c r="K114" s="268">
        <f t="shared" si="181"/>
        <v>1572.6334555555554</v>
      </c>
      <c r="L114" s="258">
        <f t="shared" si="182"/>
        <v>52</v>
      </c>
      <c r="M114" s="282">
        <v>2.5</v>
      </c>
      <c r="N114" s="22">
        <f t="shared" si="184"/>
        <v>18.721826851851851</v>
      </c>
      <c r="O114" s="268">
        <f t="shared" si="185"/>
        <v>973.5349962962963</v>
      </c>
      <c r="P114" s="23">
        <f t="shared" si="186"/>
        <v>340</v>
      </c>
      <c r="Q114" s="268">
        <f t="shared" si="187"/>
        <v>2546.1684518518518</v>
      </c>
      <c r="R114" s="118"/>
    </row>
    <row r="115" spans="1:18" x14ac:dyDescent="0.35">
      <c r="A115" s="67" t="str">
        <f>IF(TRIM(G115)&lt;&gt;"",COUNTA(G$11:$G115)&amp;"","")</f>
        <v/>
      </c>
      <c r="B115" s="311"/>
      <c r="C115" s="311"/>
      <c r="D115" s="30"/>
      <c r="E115" s="52"/>
      <c r="F115" s="69"/>
      <c r="G115" s="70"/>
      <c r="H115" s="21" t="str">
        <f t="shared" si="138"/>
        <v/>
      </c>
      <c r="I115" s="47" t="str">
        <f t="shared" si="179"/>
        <v/>
      </c>
      <c r="J115" s="265" t="str">
        <f t="shared" si="180"/>
        <v/>
      </c>
      <c r="K115" s="268" t="str">
        <f t="shared" si="181"/>
        <v/>
      </c>
      <c r="L115" s="258" t="str">
        <f t="shared" si="182"/>
        <v/>
      </c>
      <c r="M115" s="282" t="str">
        <f t="shared" si="183"/>
        <v/>
      </c>
      <c r="N115" s="22" t="str">
        <f t="shared" si="184"/>
        <v/>
      </c>
      <c r="O115" s="268" t="str">
        <f t="shared" si="185"/>
        <v/>
      </c>
      <c r="P115" s="23" t="str">
        <f t="shared" si="186"/>
        <v/>
      </c>
      <c r="Q115" s="268" t="str">
        <f t="shared" si="187"/>
        <v/>
      </c>
      <c r="R115" s="118"/>
    </row>
    <row r="116" spans="1:18" x14ac:dyDescent="0.35">
      <c r="A116" s="67" t="str">
        <f>IF(TRIM(G116)&lt;&gt;"",COUNTA(G$11:$G116)&amp;"","")</f>
        <v>77</v>
      </c>
      <c r="B116" s="311"/>
      <c r="C116" s="311"/>
      <c r="D116" s="30"/>
      <c r="E116" s="244" t="s">
        <v>264</v>
      </c>
      <c r="F116" s="239">
        <v>47.47</v>
      </c>
      <c r="G116" s="245" t="s">
        <v>163</v>
      </c>
      <c r="H116" s="21"/>
      <c r="I116" s="47"/>
      <c r="J116" s="265"/>
      <c r="K116" s="268"/>
      <c r="L116" s="258"/>
      <c r="M116" s="282"/>
      <c r="N116" s="22"/>
      <c r="O116" s="268"/>
      <c r="P116" s="23"/>
      <c r="Q116" s="268"/>
      <c r="R116" s="118"/>
    </row>
    <row r="117" spans="1:18" x14ac:dyDescent="0.35">
      <c r="A117" s="67" t="str">
        <f>IF(TRIM(G117)&lt;&gt;"",COUNTA(G$11:$G117)&amp;"","")</f>
        <v>78</v>
      </c>
      <c r="B117" s="311"/>
      <c r="C117" s="311"/>
      <c r="D117" s="30"/>
      <c r="E117" s="52" t="s">
        <v>237</v>
      </c>
      <c r="F117" s="69">
        <f>(F116*0.33)/27</f>
        <v>0.58018888888888887</v>
      </c>
      <c r="G117" s="70" t="s">
        <v>180</v>
      </c>
      <c r="H117" s="21">
        <v>0.1</v>
      </c>
      <c r="I117" s="47">
        <f t="shared" si="179"/>
        <v>0.63820777777777771</v>
      </c>
      <c r="J117" s="265">
        <v>215</v>
      </c>
      <c r="K117" s="268">
        <f t="shared" si="181"/>
        <v>137.21467222222222</v>
      </c>
      <c r="L117" s="258">
        <f t="shared" si="182"/>
        <v>52</v>
      </c>
      <c r="M117" s="282">
        <v>2.5</v>
      </c>
      <c r="N117" s="22">
        <f t="shared" si="184"/>
        <v>1.5955194444444443</v>
      </c>
      <c r="O117" s="268">
        <f t="shared" si="185"/>
        <v>82.967011111111105</v>
      </c>
      <c r="P117" s="23">
        <f t="shared" si="186"/>
        <v>345</v>
      </c>
      <c r="Q117" s="268">
        <f t="shared" si="187"/>
        <v>220.1816833333333</v>
      </c>
      <c r="R117" s="118"/>
    </row>
    <row r="118" spans="1:18" x14ac:dyDescent="0.35">
      <c r="A118" s="67" t="str">
        <f>IF(TRIM(G118)&lt;&gt;"",COUNTA(G$11:$G118)&amp;"","")</f>
        <v>79</v>
      </c>
      <c r="B118" s="311"/>
      <c r="C118" s="311"/>
      <c r="D118" s="30"/>
      <c r="E118" s="52" t="s">
        <v>242</v>
      </c>
      <c r="F118" s="69">
        <f>(29*0.33)</f>
        <v>9.57</v>
      </c>
      <c r="G118" s="70" t="s">
        <v>163</v>
      </c>
      <c r="H118" s="21">
        <v>0.1</v>
      </c>
      <c r="I118" s="47">
        <f t="shared" si="52"/>
        <v>10.527000000000001</v>
      </c>
      <c r="J118" s="265">
        <v>0</v>
      </c>
      <c r="K118" s="268">
        <f t="shared" si="54"/>
        <v>0</v>
      </c>
      <c r="L118" s="258">
        <f t="shared" si="55"/>
        <v>52</v>
      </c>
      <c r="M118" s="282">
        <v>0.05</v>
      </c>
      <c r="N118" s="22">
        <f t="shared" si="57"/>
        <v>0.5263500000000001</v>
      </c>
      <c r="O118" s="268">
        <f t="shared" si="58"/>
        <v>27.370200000000004</v>
      </c>
      <c r="P118" s="23">
        <f t="shared" si="59"/>
        <v>2.6</v>
      </c>
      <c r="Q118" s="268">
        <f t="shared" si="60"/>
        <v>27.370200000000004</v>
      </c>
      <c r="R118" s="118"/>
    </row>
    <row r="119" spans="1:18" x14ac:dyDescent="0.35">
      <c r="A119" s="67" t="str">
        <f>IF(TRIM(G119)&lt;&gt;"",COUNTA(G$11:$G119)&amp;"","")</f>
        <v>80</v>
      </c>
      <c r="B119" s="311"/>
      <c r="C119" s="311"/>
      <c r="D119" s="30" t="s">
        <v>260</v>
      </c>
      <c r="E119" s="52" t="s">
        <v>259</v>
      </c>
      <c r="F119" s="69">
        <f>F116</f>
        <v>47.47</v>
      </c>
      <c r="G119" s="70" t="s">
        <v>163</v>
      </c>
      <c r="H119" s="21">
        <v>0.1</v>
      </c>
      <c r="I119" s="47">
        <f t="shared" si="52"/>
        <v>52.216999999999999</v>
      </c>
      <c r="J119" s="265">
        <v>0.2</v>
      </c>
      <c r="K119" s="268">
        <f t="shared" ref="K119" si="188">IF(F119=0,"",J119*I119)</f>
        <v>10.4434</v>
      </c>
      <c r="L119" s="258">
        <f t="shared" ref="L119" si="189">IF(F119=0,"",L$28)</f>
        <v>52</v>
      </c>
      <c r="M119" s="282">
        <v>3.0000000000000001E-3</v>
      </c>
      <c r="N119" s="22">
        <f t="shared" si="57"/>
        <v>0.15665100000000001</v>
      </c>
      <c r="O119" s="268">
        <f t="shared" si="58"/>
        <v>8.1458520000000014</v>
      </c>
      <c r="P119" s="23">
        <f t="shared" si="59"/>
        <v>0.35600000000000004</v>
      </c>
      <c r="Q119" s="268">
        <f t="shared" si="60"/>
        <v>18.589252000000002</v>
      </c>
      <c r="R119" s="118"/>
    </row>
    <row r="120" spans="1:18" x14ac:dyDescent="0.35">
      <c r="A120" s="67" t="str">
        <f>IF(TRIM(G120)&lt;&gt;"",COUNTA(G$11:$G120)&amp;"","")</f>
        <v>81</v>
      </c>
      <c r="B120" s="311"/>
      <c r="C120" s="311"/>
      <c r="D120" s="30"/>
      <c r="E120" s="52" t="s">
        <v>261</v>
      </c>
      <c r="F120" s="69">
        <f>(F116*0.33)/27</f>
        <v>0.58018888888888887</v>
      </c>
      <c r="G120" s="70" t="s">
        <v>180</v>
      </c>
      <c r="H120" s="21">
        <v>0.1</v>
      </c>
      <c r="I120" s="47">
        <f t="shared" ref="I120:I121" si="190">IF(F120=0,"",F120+(F120*H120))</f>
        <v>0.63820777777777771</v>
      </c>
      <c r="J120" s="265">
        <v>38</v>
      </c>
      <c r="K120" s="268">
        <f t="shared" ref="K120:K121" si="191">IF(F120=0,"",J120*I120)</f>
        <v>24.251895555555553</v>
      </c>
      <c r="L120" s="258">
        <f t="shared" ref="L120:L121" si="192">IF(F120=0,"",L$28)</f>
        <v>52</v>
      </c>
      <c r="M120" s="282">
        <v>0.67500000000000004</v>
      </c>
      <c r="N120" s="22">
        <f t="shared" ref="N120:N121" si="193">IF(F120=0,"",M120*I120)</f>
        <v>0.43079024999999999</v>
      </c>
      <c r="O120" s="268">
        <f t="shared" ref="O120:O121" si="194">IF(F120=0,"",N120*L120)</f>
        <v>22.401092999999999</v>
      </c>
      <c r="P120" s="23">
        <f t="shared" ref="P120:P121" si="195">IF(F120=0,"",(K120+O120)/I120)</f>
        <v>73.100000000000009</v>
      </c>
      <c r="Q120" s="268">
        <f t="shared" ref="Q120:Q121" si="196">IF(F120=0,"",(P120*I120))</f>
        <v>46.652988555555552</v>
      </c>
      <c r="R120" s="118"/>
    </row>
    <row r="121" spans="1:18" x14ac:dyDescent="0.35">
      <c r="A121" s="67" t="str">
        <f>IF(TRIM(G121)&lt;&gt;"",COUNTA(G$11:$G121)&amp;"","")</f>
        <v>82</v>
      </c>
      <c r="B121" s="311"/>
      <c r="C121" s="311"/>
      <c r="D121" s="30"/>
      <c r="E121" s="52" t="s">
        <v>262</v>
      </c>
      <c r="F121" s="69">
        <f>F116</f>
        <v>47.47</v>
      </c>
      <c r="G121" s="70" t="s">
        <v>163</v>
      </c>
      <c r="H121" s="21">
        <v>0.1</v>
      </c>
      <c r="I121" s="47">
        <f t="shared" si="190"/>
        <v>52.216999999999999</v>
      </c>
      <c r="J121" s="265">
        <v>0.36</v>
      </c>
      <c r="K121" s="268">
        <f t="shared" si="191"/>
        <v>18.798119999999997</v>
      </c>
      <c r="L121" s="258">
        <f t="shared" si="192"/>
        <v>52</v>
      </c>
      <c r="M121" s="282">
        <v>4.0000000000000001E-3</v>
      </c>
      <c r="N121" s="22">
        <f t="shared" si="193"/>
        <v>0.208868</v>
      </c>
      <c r="O121" s="268">
        <f t="shared" si="194"/>
        <v>10.861136</v>
      </c>
      <c r="P121" s="23">
        <f t="shared" si="195"/>
        <v>0.56799999999999995</v>
      </c>
      <c r="Q121" s="268">
        <f t="shared" si="196"/>
        <v>29.659255999999996</v>
      </c>
      <c r="R121" s="118"/>
    </row>
    <row r="122" spans="1:18" x14ac:dyDescent="0.35">
      <c r="A122" s="67" t="str">
        <f>IF(TRIM(G122)&lt;&gt;"",COUNTA(G$11:$G122)&amp;"","")</f>
        <v>83</v>
      </c>
      <c r="B122" s="311"/>
      <c r="C122" s="311"/>
      <c r="D122" s="30"/>
      <c r="E122" s="52" t="s">
        <v>263</v>
      </c>
      <c r="F122" s="69">
        <f>F116</f>
        <v>47.47</v>
      </c>
      <c r="G122" s="70" t="s">
        <v>163</v>
      </c>
      <c r="H122" s="21">
        <v>0.1</v>
      </c>
      <c r="I122" s="47">
        <f t="shared" si="43"/>
        <v>52.216999999999999</v>
      </c>
      <c r="J122" s="265">
        <f t="shared" si="44"/>
        <v>0</v>
      </c>
      <c r="K122" s="268">
        <f t="shared" si="45"/>
        <v>0</v>
      </c>
      <c r="L122" s="258">
        <f>IF(F122=0,"",L$28)</f>
        <v>52</v>
      </c>
      <c r="M122" s="282">
        <v>6.0000000000000001E-3</v>
      </c>
      <c r="N122" s="22">
        <f t="shared" si="47"/>
        <v>0.31330200000000002</v>
      </c>
      <c r="O122" s="268">
        <f t="shared" si="48"/>
        <v>16.291704000000003</v>
      </c>
      <c r="P122" s="23">
        <f t="shared" si="49"/>
        <v>0.31200000000000006</v>
      </c>
      <c r="Q122" s="268">
        <f t="shared" si="50"/>
        <v>16.291704000000003</v>
      </c>
      <c r="R122" s="118"/>
    </row>
    <row r="123" spans="1:18" x14ac:dyDescent="0.35">
      <c r="A123" s="67" t="str">
        <f>IF(TRIM(G123)&lt;&gt;"",COUNTA(G$11:$G123)&amp;"","")</f>
        <v/>
      </c>
      <c r="B123" s="311"/>
      <c r="C123" s="311"/>
      <c r="D123" s="30"/>
      <c r="E123" s="72"/>
      <c r="F123" s="69"/>
      <c r="G123" s="70"/>
      <c r="H123" s="21" t="str">
        <f t="shared" ref="H123:H126" si="197">IF(F123=0,"",0)</f>
        <v/>
      </c>
      <c r="I123" s="47" t="str">
        <f t="shared" ref="I123:I186" si="198">IF(F123=0,"",F123+(F123*H123))</f>
        <v/>
      </c>
      <c r="J123" s="265" t="str">
        <f t="shared" ref="J123:J126" si="199">IF(F123=0,"",0)</f>
        <v/>
      </c>
      <c r="K123" s="268" t="str">
        <f t="shared" ref="K123:K186" si="200">IF(F123=0,"",J123*I123)</f>
        <v/>
      </c>
      <c r="L123" s="258" t="str">
        <f t="shared" ref="L123:L186" si="201">IF(F123=0,"",L$28)</f>
        <v/>
      </c>
      <c r="M123" s="282" t="str">
        <f t="shared" ref="M123:M126" si="202">IF(F123=0,"",0)</f>
        <v/>
      </c>
      <c r="N123" s="22" t="str">
        <f t="shared" ref="N123:N186" si="203">IF(F123=0,"",M123*I123)</f>
        <v/>
      </c>
      <c r="O123" s="268" t="str">
        <f t="shared" ref="O123:O186" si="204">IF(F123=0,"",N123*L123)</f>
        <v/>
      </c>
      <c r="P123" s="23" t="str">
        <f t="shared" ref="P123:P186" si="205">IF(F123=0,"",(K123+O123)/I123)</f>
        <v/>
      </c>
      <c r="Q123" s="268" t="str">
        <f t="shared" ref="Q123:Q186" si="206">IF(F123=0,"",(P123*I123))</f>
        <v/>
      </c>
      <c r="R123" s="118"/>
    </row>
    <row r="124" spans="1:18" x14ac:dyDescent="0.35">
      <c r="A124" s="67" t="str">
        <f>IF(TRIM(G124)&lt;&gt;"",COUNTA(G$11:$G124)&amp;"","")</f>
        <v/>
      </c>
      <c r="B124" s="311"/>
      <c r="C124" s="311"/>
      <c r="D124" s="30"/>
      <c r="E124" s="18" t="s">
        <v>265</v>
      </c>
      <c r="F124" s="69"/>
      <c r="G124" s="70"/>
      <c r="H124" s="21" t="str">
        <f t="shared" si="197"/>
        <v/>
      </c>
      <c r="I124" s="47" t="str">
        <f t="shared" si="198"/>
        <v/>
      </c>
      <c r="J124" s="265" t="str">
        <f t="shared" si="199"/>
        <v/>
      </c>
      <c r="K124" s="268" t="str">
        <f t="shared" si="200"/>
        <v/>
      </c>
      <c r="L124" s="258" t="str">
        <f t="shared" si="201"/>
        <v/>
      </c>
      <c r="M124" s="282" t="str">
        <f t="shared" si="202"/>
        <v/>
      </c>
      <c r="N124" s="22" t="str">
        <f t="shared" si="203"/>
        <v/>
      </c>
      <c r="O124" s="268" t="str">
        <f t="shared" si="204"/>
        <v/>
      </c>
      <c r="P124" s="23" t="str">
        <f t="shared" si="205"/>
        <v/>
      </c>
      <c r="Q124" s="268" t="str">
        <f t="shared" si="206"/>
        <v/>
      </c>
      <c r="R124" s="118"/>
    </row>
    <row r="125" spans="1:18" x14ac:dyDescent="0.35">
      <c r="A125" s="67" t="str">
        <f>IF(TRIM(G125)&lt;&gt;"",COUNTA(G$11:$G125)&amp;"","")</f>
        <v>84</v>
      </c>
      <c r="B125" s="312"/>
      <c r="C125" s="312"/>
      <c r="D125" s="30"/>
      <c r="E125" s="72" t="s">
        <v>266</v>
      </c>
      <c r="F125" s="69">
        <v>69.8</v>
      </c>
      <c r="G125" s="70" t="s">
        <v>177</v>
      </c>
      <c r="H125" s="21">
        <v>0.1</v>
      </c>
      <c r="I125" s="47">
        <f t="shared" si="198"/>
        <v>76.78</v>
      </c>
      <c r="J125" s="265">
        <f t="shared" si="199"/>
        <v>0</v>
      </c>
      <c r="K125" s="268">
        <f t="shared" si="200"/>
        <v>0</v>
      </c>
      <c r="L125" s="258">
        <f t="shared" si="201"/>
        <v>52</v>
      </c>
      <c r="M125" s="282">
        <v>4.4999999999999998E-2</v>
      </c>
      <c r="N125" s="22">
        <f t="shared" si="203"/>
        <v>3.4550999999999998</v>
      </c>
      <c r="O125" s="268">
        <f t="shared" si="204"/>
        <v>179.6652</v>
      </c>
      <c r="P125" s="23">
        <f t="shared" si="205"/>
        <v>2.34</v>
      </c>
      <c r="Q125" s="268">
        <f t="shared" si="206"/>
        <v>179.6652</v>
      </c>
      <c r="R125" s="118"/>
    </row>
    <row r="126" spans="1:18" x14ac:dyDescent="0.35">
      <c r="A126" s="67" t="str">
        <f>IF(TRIM(G126)&lt;&gt;"",COUNTA(G$11:$G126)&amp;"","")</f>
        <v/>
      </c>
      <c r="B126" s="71"/>
      <c r="C126" s="71"/>
      <c r="D126" s="30"/>
      <c r="E126" s="72"/>
      <c r="F126" s="69"/>
      <c r="G126" s="70"/>
      <c r="H126" s="21" t="str">
        <f t="shared" si="197"/>
        <v/>
      </c>
      <c r="I126" s="47" t="str">
        <f t="shared" si="198"/>
        <v/>
      </c>
      <c r="J126" s="265" t="str">
        <f t="shared" si="199"/>
        <v/>
      </c>
      <c r="K126" s="268" t="str">
        <f t="shared" si="200"/>
        <v/>
      </c>
      <c r="L126" s="258" t="str">
        <f t="shared" si="201"/>
        <v/>
      </c>
      <c r="M126" s="282" t="str">
        <f t="shared" si="202"/>
        <v/>
      </c>
      <c r="N126" s="22" t="str">
        <f t="shared" si="203"/>
        <v/>
      </c>
      <c r="O126" s="268" t="str">
        <f t="shared" si="204"/>
        <v/>
      </c>
      <c r="P126" s="23" t="str">
        <f t="shared" si="205"/>
        <v/>
      </c>
      <c r="Q126" s="268" t="str">
        <f t="shared" si="206"/>
        <v/>
      </c>
      <c r="R126" s="118"/>
    </row>
    <row r="127" spans="1:18" x14ac:dyDescent="0.35">
      <c r="A127" s="67" t="str">
        <f>IF(TRIM(G127)&lt;&gt;"",COUNTA(G$11:$G127)&amp;"","")</f>
        <v/>
      </c>
      <c r="B127" s="71"/>
      <c r="C127" s="71"/>
      <c r="D127" s="30"/>
      <c r="E127" s="248" t="s">
        <v>604</v>
      </c>
      <c r="F127" s="69"/>
      <c r="G127" s="70"/>
      <c r="H127" s="21" t="str">
        <f t="shared" ref="H127:H139" si="207">IF(F127=0,"",0)</f>
        <v/>
      </c>
      <c r="I127" s="47" t="str">
        <f t="shared" ref="I127:I139" si="208">IF(F127=0,"",F127+(F127*H127))</f>
        <v/>
      </c>
      <c r="J127" s="265" t="str">
        <f t="shared" ref="J127:J139" si="209">IF(F127=0,"",0)</f>
        <v/>
      </c>
      <c r="K127" s="268" t="str">
        <f t="shared" ref="K127:K139" si="210">IF(F127=0,"",J127*I127)</f>
        <v/>
      </c>
      <c r="L127" s="258" t="str">
        <f>IF(F127=0,"",L$28)</f>
        <v/>
      </c>
      <c r="M127" s="282" t="str">
        <f t="shared" ref="M127:M139" si="211">IF(F127=0,"",0)</f>
        <v/>
      </c>
      <c r="N127" s="22" t="str">
        <f t="shared" ref="N127:N139" si="212">IF(F127=0,"",M127*I127)</f>
        <v/>
      </c>
      <c r="O127" s="268" t="str">
        <f t="shared" ref="O127:O139" si="213">IF(F127=0,"",N127*L127)</f>
        <v/>
      </c>
      <c r="P127" s="23" t="str">
        <f t="shared" ref="P127:P139" si="214">IF(F127=0,"",(K127+O127)/I127)</f>
        <v/>
      </c>
      <c r="Q127" s="268" t="str">
        <f t="shared" ref="Q127:Q139" si="215">IF(F127=0,"",(P127*I127))</f>
        <v/>
      </c>
      <c r="R127" s="118"/>
    </row>
    <row r="128" spans="1:18" ht="58" x14ac:dyDescent="0.35">
      <c r="A128" s="67" t="str">
        <f>IF(TRIM(G128)&lt;&gt;"",COUNTA(G$11:$G128)&amp;"","")</f>
        <v>85</v>
      </c>
      <c r="B128" s="310" t="s">
        <v>630</v>
      </c>
      <c r="C128" s="310" t="s">
        <v>631</v>
      </c>
      <c r="D128" s="30"/>
      <c r="E128" s="18" t="s">
        <v>275</v>
      </c>
      <c r="F128" s="239">
        <v>50.26</v>
      </c>
      <c r="G128" s="245" t="s">
        <v>177</v>
      </c>
      <c r="H128" s="21"/>
      <c r="I128" s="47"/>
      <c r="J128" s="265"/>
      <c r="K128" s="268"/>
      <c r="L128" s="258"/>
      <c r="M128" s="282"/>
      <c r="N128" s="22"/>
      <c r="O128" s="268"/>
      <c r="P128" s="23"/>
      <c r="Q128" s="268"/>
      <c r="R128" s="118"/>
    </row>
    <row r="129" spans="1:18" x14ac:dyDescent="0.35">
      <c r="A129" s="67" t="str">
        <f>IF(TRIM(G129)&lt;&gt;"",COUNTA(G$11:$G129)&amp;"","")</f>
        <v>86</v>
      </c>
      <c r="B129" s="311"/>
      <c r="C129" s="311"/>
      <c r="D129" s="30"/>
      <c r="E129" s="72" t="s">
        <v>237</v>
      </c>
      <c r="F129" s="69">
        <f>(F128*1*8.67)/27</f>
        <v>16.139044444444444</v>
      </c>
      <c r="G129" s="70" t="s">
        <v>180</v>
      </c>
      <c r="H129" s="21">
        <v>0.1</v>
      </c>
      <c r="I129" s="47">
        <f t="shared" si="208"/>
        <v>17.752948888888888</v>
      </c>
      <c r="J129" s="265">
        <v>215</v>
      </c>
      <c r="K129" s="268">
        <f t="shared" si="210"/>
        <v>3816.8840111111108</v>
      </c>
      <c r="L129" s="258">
        <f t="shared" ref="L129:L139" si="216">IF(F129=0,"",L$28)</f>
        <v>52</v>
      </c>
      <c r="M129" s="282">
        <v>2.5</v>
      </c>
      <c r="N129" s="22">
        <f t="shared" si="212"/>
        <v>44.382372222222216</v>
      </c>
      <c r="O129" s="268">
        <f t="shared" si="213"/>
        <v>2307.8833555555552</v>
      </c>
      <c r="P129" s="23">
        <f t="shared" si="214"/>
        <v>345</v>
      </c>
      <c r="Q129" s="268">
        <f t="shared" si="215"/>
        <v>6124.767366666666</v>
      </c>
      <c r="R129" s="118"/>
    </row>
    <row r="130" spans="1:18" x14ac:dyDescent="0.35">
      <c r="A130" s="67" t="str">
        <f>IF(TRIM(G130)&lt;&gt;"",COUNTA(G$11:$G130)&amp;"","")</f>
        <v>87</v>
      </c>
      <c r="B130" s="311"/>
      <c r="C130" s="311"/>
      <c r="D130" s="30"/>
      <c r="E130" s="72" t="s">
        <v>267</v>
      </c>
      <c r="F130" s="69">
        <f>(F128/0.83)*8.67*1.043</f>
        <v>547.58027783132525</v>
      </c>
      <c r="G130" s="70" t="s">
        <v>240</v>
      </c>
      <c r="H130" s="21">
        <v>0.1</v>
      </c>
      <c r="I130" s="47">
        <f t="shared" si="208"/>
        <v>602.33830561445779</v>
      </c>
      <c r="J130" s="265">
        <v>0.93</v>
      </c>
      <c r="K130" s="268">
        <f t="shared" si="210"/>
        <v>560.17462422144581</v>
      </c>
      <c r="L130" s="258">
        <f t="shared" si="216"/>
        <v>52</v>
      </c>
      <c r="M130" s="282">
        <v>0.01</v>
      </c>
      <c r="N130" s="22">
        <f t="shared" si="212"/>
        <v>6.0233830561445778</v>
      </c>
      <c r="O130" s="268">
        <f t="shared" si="213"/>
        <v>313.21591891951806</v>
      </c>
      <c r="P130" s="23">
        <f t="shared" si="214"/>
        <v>1.4500000000000002</v>
      </c>
      <c r="Q130" s="268">
        <f t="shared" si="215"/>
        <v>873.39054314096393</v>
      </c>
      <c r="R130" s="118"/>
    </row>
    <row r="131" spans="1:18" x14ac:dyDescent="0.35">
      <c r="A131" s="67" t="str">
        <f>IF(TRIM(G131)&lt;&gt;"",COUNTA(G$11:$G131)&amp;"","")</f>
        <v>88</v>
      </c>
      <c r="B131" s="311"/>
      <c r="C131" s="311"/>
      <c r="D131" s="30"/>
      <c r="E131" s="72" t="s">
        <v>268</v>
      </c>
      <c r="F131" s="69">
        <f>(F128/1.83)*0.5*2*0.668</f>
        <v>18.346273224043713</v>
      </c>
      <c r="G131" s="70" t="s">
        <v>240</v>
      </c>
      <c r="H131" s="21">
        <v>0.1</v>
      </c>
      <c r="I131" s="47">
        <f t="shared" si="208"/>
        <v>20.180900546448086</v>
      </c>
      <c r="J131" s="265">
        <v>0.93</v>
      </c>
      <c r="K131" s="268">
        <f t="shared" si="210"/>
        <v>18.768237508196719</v>
      </c>
      <c r="L131" s="258">
        <f t="shared" si="216"/>
        <v>52</v>
      </c>
      <c r="M131" s="282">
        <v>0.01</v>
      </c>
      <c r="N131" s="22">
        <f t="shared" si="212"/>
        <v>0.20180900546448086</v>
      </c>
      <c r="O131" s="268">
        <f t="shared" si="213"/>
        <v>10.494068284153004</v>
      </c>
      <c r="P131" s="23">
        <f t="shared" si="214"/>
        <v>1.4499999999999997</v>
      </c>
      <c r="Q131" s="268">
        <f t="shared" si="215"/>
        <v>29.262305792349718</v>
      </c>
      <c r="R131" s="118"/>
    </row>
    <row r="132" spans="1:18" x14ac:dyDescent="0.35">
      <c r="A132" s="67" t="str">
        <f>IF(TRIM(G132)&lt;&gt;"",COUNTA(G$11:$G132)&amp;"","")</f>
        <v>89</v>
      </c>
      <c r="B132" s="311"/>
      <c r="C132" s="311"/>
      <c r="D132" s="30"/>
      <c r="E132" s="72" t="s">
        <v>269</v>
      </c>
      <c r="F132" s="69">
        <f>(F128/0.83)*2*4.5*1.043</f>
        <v>568.42243373493966</v>
      </c>
      <c r="G132" s="70" t="s">
        <v>240</v>
      </c>
      <c r="H132" s="21">
        <v>0.1</v>
      </c>
      <c r="I132" s="47">
        <f t="shared" si="208"/>
        <v>625.2646771084336</v>
      </c>
      <c r="J132" s="265">
        <v>0.93</v>
      </c>
      <c r="K132" s="268">
        <f t="shared" si="210"/>
        <v>581.49614971084327</v>
      </c>
      <c r="L132" s="258">
        <f t="shared" si="216"/>
        <v>52</v>
      </c>
      <c r="M132" s="282">
        <v>0.01</v>
      </c>
      <c r="N132" s="22">
        <f t="shared" si="212"/>
        <v>6.2526467710843363</v>
      </c>
      <c r="O132" s="268">
        <f t="shared" si="213"/>
        <v>325.13763209638546</v>
      </c>
      <c r="P132" s="23">
        <f t="shared" si="214"/>
        <v>1.45</v>
      </c>
      <c r="Q132" s="268">
        <f t="shared" si="215"/>
        <v>906.63378180722873</v>
      </c>
      <c r="R132" s="118"/>
    </row>
    <row r="133" spans="1:18" x14ac:dyDescent="0.35">
      <c r="A133" s="67" t="str">
        <f>IF(TRIM(G133)&lt;&gt;"",COUNTA(G$11:$G133)&amp;"","")</f>
        <v>90</v>
      </c>
      <c r="B133" s="311"/>
      <c r="C133" s="311"/>
      <c r="D133" s="30"/>
      <c r="E133" s="72" t="s">
        <v>242</v>
      </c>
      <c r="F133" s="69">
        <f>(F128*8.67)</f>
        <v>435.75419999999997</v>
      </c>
      <c r="G133" s="70" t="s">
        <v>163</v>
      </c>
      <c r="H133" s="21">
        <v>0.1</v>
      </c>
      <c r="I133" s="47">
        <f t="shared" si="208"/>
        <v>479.32961999999998</v>
      </c>
      <c r="J133" s="265">
        <f t="shared" si="209"/>
        <v>0</v>
      </c>
      <c r="K133" s="268">
        <f t="shared" si="210"/>
        <v>0</v>
      </c>
      <c r="L133" s="258">
        <f t="shared" si="216"/>
        <v>52</v>
      </c>
      <c r="M133" s="282">
        <v>0.05</v>
      </c>
      <c r="N133" s="22">
        <f t="shared" si="212"/>
        <v>23.966481000000002</v>
      </c>
      <c r="O133" s="268">
        <f t="shared" si="213"/>
        <v>1246.257012</v>
      </c>
      <c r="P133" s="23">
        <f t="shared" si="214"/>
        <v>2.6</v>
      </c>
      <c r="Q133" s="268">
        <f t="shared" si="215"/>
        <v>1246.257012</v>
      </c>
      <c r="R133" s="118"/>
    </row>
    <row r="134" spans="1:18" x14ac:dyDescent="0.35">
      <c r="A134" s="67" t="str">
        <f>IF(TRIM(G134)&lt;&gt;"",COUNTA(G$11:$G134)&amp;"","")</f>
        <v>91</v>
      </c>
      <c r="B134" s="311"/>
      <c r="C134" s="311"/>
      <c r="D134" s="30"/>
      <c r="E134" s="72" t="s">
        <v>270</v>
      </c>
      <c r="F134" s="69">
        <f>F128*8.67</f>
        <v>435.75419999999997</v>
      </c>
      <c r="G134" s="70" t="s">
        <v>163</v>
      </c>
      <c r="H134" s="21">
        <v>0.1</v>
      </c>
      <c r="I134" s="47">
        <f t="shared" si="208"/>
        <v>479.32961999999998</v>
      </c>
      <c r="J134" s="265">
        <v>0.22</v>
      </c>
      <c r="K134" s="268">
        <f t="shared" si="210"/>
        <v>105.45251639999999</v>
      </c>
      <c r="L134" s="258">
        <f t="shared" si="216"/>
        <v>52</v>
      </c>
      <c r="M134" s="282">
        <v>3.0000000000000001E-3</v>
      </c>
      <c r="N134" s="22">
        <f t="shared" si="212"/>
        <v>1.4379888599999999</v>
      </c>
      <c r="O134" s="268">
        <f t="shared" si="213"/>
        <v>74.77542072</v>
      </c>
      <c r="P134" s="23">
        <f t="shared" si="214"/>
        <v>0.376</v>
      </c>
      <c r="Q134" s="268">
        <f t="shared" si="215"/>
        <v>180.22793711999998</v>
      </c>
      <c r="R134" s="118"/>
    </row>
    <row r="135" spans="1:18" x14ac:dyDescent="0.35">
      <c r="A135" s="67" t="str">
        <f>IF(TRIM(G135)&lt;&gt;"",COUNTA(G$11:$G135)&amp;"","")</f>
        <v>92</v>
      </c>
      <c r="B135" s="311"/>
      <c r="C135" s="311"/>
      <c r="D135" s="30" t="s">
        <v>260</v>
      </c>
      <c r="E135" s="72" t="s">
        <v>271</v>
      </c>
      <c r="F135" s="69">
        <f t="shared" ref="F135:F138" si="217">F129*8.67</f>
        <v>139.92551533333332</v>
      </c>
      <c r="G135" s="70" t="s">
        <v>163</v>
      </c>
      <c r="H135" s="21">
        <v>0.1</v>
      </c>
      <c r="I135" s="47">
        <f t="shared" si="208"/>
        <v>153.91806686666666</v>
      </c>
      <c r="J135" s="265">
        <v>0.52</v>
      </c>
      <c r="K135" s="268">
        <f t="shared" si="210"/>
        <v>80.037394770666666</v>
      </c>
      <c r="L135" s="258">
        <f t="shared" si="216"/>
        <v>52</v>
      </c>
      <c r="M135" s="282">
        <v>1.6E-2</v>
      </c>
      <c r="N135" s="22">
        <f t="shared" si="212"/>
        <v>2.4626890698666668</v>
      </c>
      <c r="O135" s="268">
        <f t="shared" si="213"/>
        <v>128.05983163306666</v>
      </c>
      <c r="P135" s="23">
        <f t="shared" si="214"/>
        <v>1.3519999999999999</v>
      </c>
      <c r="Q135" s="268">
        <f t="shared" si="215"/>
        <v>208.09722640373332</v>
      </c>
      <c r="R135" s="118"/>
    </row>
    <row r="136" spans="1:18" x14ac:dyDescent="0.35">
      <c r="A136" s="67" t="str">
        <f>IF(TRIM(G136)&lt;&gt;"",COUNTA(G$11:$G136)&amp;"","")</f>
        <v>93</v>
      </c>
      <c r="B136" s="311"/>
      <c r="C136" s="311"/>
      <c r="D136" s="30"/>
      <c r="E136" s="72" t="s">
        <v>272</v>
      </c>
      <c r="F136" s="69">
        <f t="shared" si="217"/>
        <v>4747.5210087975902</v>
      </c>
      <c r="G136" s="70" t="s">
        <v>163</v>
      </c>
      <c r="H136" s="21">
        <v>0.1</v>
      </c>
      <c r="I136" s="47">
        <f t="shared" si="208"/>
        <v>5222.2731096773496</v>
      </c>
      <c r="J136" s="265">
        <v>1.1299999999999999</v>
      </c>
      <c r="K136" s="268">
        <f t="shared" si="210"/>
        <v>5901.1686139354042</v>
      </c>
      <c r="L136" s="258">
        <f t="shared" si="216"/>
        <v>52</v>
      </c>
      <c r="M136" s="282">
        <v>1.4999999999999999E-2</v>
      </c>
      <c r="N136" s="22">
        <f t="shared" si="212"/>
        <v>78.334096645160244</v>
      </c>
      <c r="O136" s="268">
        <f t="shared" si="213"/>
        <v>4073.3730255483329</v>
      </c>
      <c r="P136" s="23">
        <f t="shared" si="214"/>
        <v>1.91</v>
      </c>
      <c r="Q136" s="268">
        <f t="shared" si="215"/>
        <v>9974.5416394837375</v>
      </c>
      <c r="R136" s="118"/>
    </row>
    <row r="137" spans="1:18" x14ac:dyDescent="0.35">
      <c r="A137" s="67" t="str">
        <f>IF(TRIM(G137)&lt;&gt;"",COUNTA(G$11:$G137)&amp;"","")</f>
        <v>94</v>
      </c>
      <c r="B137" s="311"/>
      <c r="C137" s="311"/>
      <c r="D137" s="30" t="s">
        <v>260</v>
      </c>
      <c r="E137" s="72" t="s">
        <v>273</v>
      </c>
      <c r="F137" s="69">
        <f t="shared" si="217"/>
        <v>159.062188852459</v>
      </c>
      <c r="G137" s="70" t="s">
        <v>163</v>
      </c>
      <c r="H137" s="21">
        <v>0.1</v>
      </c>
      <c r="I137" s="47">
        <f t="shared" si="208"/>
        <v>174.96840773770489</v>
      </c>
      <c r="J137" s="265">
        <v>1.85</v>
      </c>
      <c r="K137" s="268">
        <f t="shared" si="210"/>
        <v>323.69155431475406</v>
      </c>
      <c r="L137" s="258">
        <f t="shared" si="216"/>
        <v>52</v>
      </c>
      <c r="M137" s="282">
        <v>0.02</v>
      </c>
      <c r="N137" s="22">
        <f t="shared" si="212"/>
        <v>3.499368154754098</v>
      </c>
      <c r="O137" s="268">
        <f t="shared" si="213"/>
        <v>181.96714404721308</v>
      </c>
      <c r="P137" s="23">
        <f t="shared" si="214"/>
        <v>2.89</v>
      </c>
      <c r="Q137" s="268">
        <f t="shared" si="215"/>
        <v>505.65869836196714</v>
      </c>
      <c r="R137" s="118"/>
    </row>
    <row r="138" spans="1:18" x14ac:dyDescent="0.35">
      <c r="A138" s="67" t="str">
        <f>IF(TRIM(G138)&lt;&gt;"",COUNTA(G$11:$G138)&amp;"","")</f>
        <v>95</v>
      </c>
      <c r="B138" s="311"/>
      <c r="C138" s="311"/>
      <c r="D138" s="30"/>
      <c r="E138" s="72" t="s">
        <v>274</v>
      </c>
      <c r="F138" s="69">
        <f t="shared" si="217"/>
        <v>4928.2225004819265</v>
      </c>
      <c r="G138" s="70" t="s">
        <v>163</v>
      </c>
      <c r="H138" s="21">
        <v>0.1</v>
      </c>
      <c r="I138" s="47">
        <f t="shared" si="208"/>
        <v>5421.044750530119</v>
      </c>
      <c r="J138" s="265">
        <v>0.2</v>
      </c>
      <c r="K138" s="268">
        <f t="shared" si="210"/>
        <v>1084.2089501060238</v>
      </c>
      <c r="L138" s="258">
        <f t="shared" si="216"/>
        <v>52</v>
      </c>
      <c r="M138" s="282">
        <v>3.0000000000000001E-3</v>
      </c>
      <c r="N138" s="22">
        <f t="shared" si="212"/>
        <v>16.263134251590358</v>
      </c>
      <c r="O138" s="268">
        <f t="shared" si="213"/>
        <v>845.68298108269869</v>
      </c>
      <c r="P138" s="23">
        <f t="shared" si="214"/>
        <v>0.35600000000000004</v>
      </c>
      <c r="Q138" s="268">
        <f t="shared" si="215"/>
        <v>1929.8919311887225</v>
      </c>
      <c r="R138" s="118"/>
    </row>
    <row r="139" spans="1:18" x14ac:dyDescent="0.35">
      <c r="A139" s="67" t="str">
        <f>IF(TRIM(G139)&lt;&gt;"",COUNTA(G$11:$G139)&amp;"","")</f>
        <v/>
      </c>
      <c r="B139" s="311"/>
      <c r="C139" s="311"/>
      <c r="D139" s="30"/>
      <c r="E139" s="72"/>
      <c r="F139" s="69"/>
      <c r="G139" s="70"/>
      <c r="H139" s="21" t="str">
        <f t="shared" si="207"/>
        <v/>
      </c>
      <c r="I139" s="47" t="str">
        <f t="shared" si="208"/>
        <v/>
      </c>
      <c r="J139" s="265" t="str">
        <f t="shared" si="209"/>
        <v/>
      </c>
      <c r="K139" s="268" t="str">
        <f t="shared" si="210"/>
        <v/>
      </c>
      <c r="L139" s="258" t="str">
        <f t="shared" si="216"/>
        <v/>
      </c>
      <c r="M139" s="282" t="str">
        <f t="shared" si="211"/>
        <v/>
      </c>
      <c r="N139" s="22" t="str">
        <f t="shared" si="212"/>
        <v/>
      </c>
      <c r="O139" s="268" t="str">
        <f t="shared" si="213"/>
        <v/>
      </c>
      <c r="P139" s="23" t="str">
        <f t="shared" si="214"/>
        <v/>
      </c>
      <c r="Q139" s="268" t="str">
        <f t="shared" si="215"/>
        <v/>
      </c>
      <c r="R139" s="118"/>
    </row>
    <row r="140" spans="1:18" ht="58" x14ac:dyDescent="0.35">
      <c r="A140" s="67" t="str">
        <f>IF(TRIM(G140)&lt;&gt;"",COUNTA(G$11:$G140)&amp;"","")</f>
        <v>96</v>
      </c>
      <c r="B140" s="311"/>
      <c r="C140" s="311"/>
      <c r="D140" s="30"/>
      <c r="E140" s="18" t="s">
        <v>276</v>
      </c>
      <c r="F140" s="239">
        <v>26.46</v>
      </c>
      <c r="G140" s="245" t="s">
        <v>177</v>
      </c>
      <c r="H140" s="21"/>
      <c r="I140" s="47"/>
      <c r="J140" s="265"/>
      <c r="K140" s="268"/>
      <c r="L140" s="258"/>
      <c r="M140" s="282"/>
      <c r="N140" s="22"/>
      <c r="O140" s="268"/>
      <c r="P140" s="23"/>
      <c r="Q140" s="268"/>
      <c r="R140" s="118"/>
    </row>
    <row r="141" spans="1:18" x14ac:dyDescent="0.35">
      <c r="A141" s="67" t="str">
        <f>IF(TRIM(G141)&lt;&gt;"",COUNTA(G$11:$G141)&amp;"","")</f>
        <v>97</v>
      </c>
      <c r="B141" s="311"/>
      <c r="C141" s="311"/>
      <c r="D141" s="30"/>
      <c r="E141" s="72" t="s">
        <v>237</v>
      </c>
      <c r="F141" s="69">
        <f>(F140*1*11.67)/27</f>
        <v>11.4366</v>
      </c>
      <c r="G141" s="70" t="s">
        <v>180</v>
      </c>
      <c r="H141" s="21">
        <v>0.1</v>
      </c>
      <c r="I141" s="47">
        <f t="shared" ref="I141:I151" si="218">IF(F141=0,"",F141+(F141*H141))</f>
        <v>12.580260000000001</v>
      </c>
      <c r="J141" s="265">
        <v>215</v>
      </c>
      <c r="K141" s="268">
        <f t="shared" ref="K141:K150" si="219">IF(F141=0,"",J141*I141)</f>
        <v>2704.7559000000001</v>
      </c>
      <c r="L141" s="258">
        <f t="shared" ref="L141:L150" si="220">IF(F141=0,"",L$28)</f>
        <v>52</v>
      </c>
      <c r="M141" s="282">
        <v>2.5</v>
      </c>
      <c r="N141" s="22">
        <f t="shared" ref="N141:N151" si="221">IF(F141=0,"",M141*I141)</f>
        <v>31.450650000000003</v>
      </c>
      <c r="O141" s="268">
        <f t="shared" ref="O141:O151" si="222">IF(F141=0,"",N141*L141)</f>
        <v>1635.4338000000002</v>
      </c>
      <c r="P141" s="23">
        <f t="shared" ref="P141:P151" si="223">IF(F141=0,"",(K141+O141)/I141)</f>
        <v>345.00000000000006</v>
      </c>
      <c r="Q141" s="268">
        <f t="shared" ref="Q141:Q151" si="224">IF(F141=0,"",(P141*I141))</f>
        <v>4340.1897000000008</v>
      </c>
      <c r="R141" s="118"/>
    </row>
    <row r="142" spans="1:18" x14ac:dyDescent="0.35">
      <c r="A142" s="67" t="str">
        <f>IF(TRIM(G142)&lt;&gt;"",COUNTA(G$11:$G142)&amp;"","")</f>
        <v>98</v>
      </c>
      <c r="B142" s="311"/>
      <c r="C142" s="311"/>
      <c r="D142" s="30"/>
      <c r="E142" s="72" t="s">
        <v>267</v>
      </c>
      <c r="F142" s="69">
        <f>(F140/0.83)*8.67*1.043</f>
        <v>288.28042481927707</v>
      </c>
      <c r="G142" s="70" t="s">
        <v>240</v>
      </c>
      <c r="H142" s="21">
        <v>0.1</v>
      </c>
      <c r="I142" s="47">
        <f t="shared" si="218"/>
        <v>317.10846730120477</v>
      </c>
      <c r="J142" s="265">
        <v>0.93</v>
      </c>
      <c r="K142" s="268">
        <f t="shared" si="219"/>
        <v>294.91087459012044</v>
      </c>
      <c r="L142" s="258">
        <f t="shared" si="220"/>
        <v>52</v>
      </c>
      <c r="M142" s="282">
        <v>0.01</v>
      </c>
      <c r="N142" s="22">
        <f t="shared" si="221"/>
        <v>3.1710846730120479</v>
      </c>
      <c r="O142" s="268">
        <f t="shared" si="222"/>
        <v>164.89640299662648</v>
      </c>
      <c r="P142" s="23">
        <f t="shared" si="223"/>
        <v>1.45</v>
      </c>
      <c r="Q142" s="268">
        <f t="shared" si="224"/>
        <v>459.80727758674692</v>
      </c>
      <c r="R142" s="118"/>
    </row>
    <row r="143" spans="1:18" x14ac:dyDescent="0.35">
      <c r="A143" s="67" t="str">
        <f>IF(TRIM(G143)&lt;&gt;"",COUNTA(G$11:$G143)&amp;"","")</f>
        <v>99</v>
      </c>
      <c r="B143" s="311"/>
      <c r="C143" s="311"/>
      <c r="D143" s="30"/>
      <c r="E143" s="72" t="s">
        <v>268</v>
      </c>
      <c r="F143" s="69">
        <f>(F140/1.83)*0.5*2*0.668</f>
        <v>9.658622950819673</v>
      </c>
      <c r="G143" s="70" t="s">
        <v>240</v>
      </c>
      <c r="H143" s="21">
        <v>0.1</v>
      </c>
      <c r="I143" s="47">
        <f t="shared" si="218"/>
        <v>10.62448524590164</v>
      </c>
      <c r="J143" s="265">
        <v>0.93</v>
      </c>
      <c r="K143" s="268">
        <f t="shared" si="219"/>
        <v>9.8807712786885258</v>
      </c>
      <c r="L143" s="258">
        <f t="shared" si="220"/>
        <v>52</v>
      </c>
      <c r="M143" s="282">
        <v>0.01</v>
      </c>
      <c r="N143" s="22">
        <f t="shared" si="221"/>
        <v>0.10624485245901641</v>
      </c>
      <c r="O143" s="268">
        <f t="shared" si="222"/>
        <v>5.5247323278688532</v>
      </c>
      <c r="P143" s="23">
        <f t="shared" si="223"/>
        <v>1.45</v>
      </c>
      <c r="Q143" s="268">
        <f t="shared" si="224"/>
        <v>15.405503606557378</v>
      </c>
      <c r="R143" s="118"/>
    </row>
    <row r="144" spans="1:18" x14ac:dyDescent="0.35">
      <c r="A144" s="67" t="str">
        <f>IF(TRIM(G144)&lt;&gt;"",COUNTA(G$11:$G144)&amp;"","")</f>
        <v>100</v>
      </c>
      <c r="B144" s="311"/>
      <c r="C144" s="311"/>
      <c r="D144" s="30"/>
      <c r="E144" s="72" t="s">
        <v>269</v>
      </c>
      <c r="F144" s="69">
        <f>(F140/0.83)*2*4.5*1.043</f>
        <v>299.25303614457829</v>
      </c>
      <c r="G144" s="70" t="s">
        <v>240</v>
      </c>
      <c r="H144" s="21">
        <v>0.1</v>
      </c>
      <c r="I144" s="47">
        <f t="shared" si="218"/>
        <v>329.17833975903613</v>
      </c>
      <c r="J144" s="265">
        <v>0.93</v>
      </c>
      <c r="K144" s="268">
        <f t="shared" si="219"/>
        <v>306.13585597590361</v>
      </c>
      <c r="L144" s="258">
        <f t="shared" si="220"/>
        <v>52</v>
      </c>
      <c r="M144" s="282">
        <v>0.01</v>
      </c>
      <c r="N144" s="22">
        <f t="shared" si="221"/>
        <v>3.2917833975903612</v>
      </c>
      <c r="O144" s="268">
        <f t="shared" si="222"/>
        <v>171.1727366746988</v>
      </c>
      <c r="P144" s="23">
        <f t="shared" si="223"/>
        <v>1.45</v>
      </c>
      <c r="Q144" s="268">
        <f t="shared" si="224"/>
        <v>477.30859265060241</v>
      </c>
      <c r="R144" s="118"/>
    </row>
    <row r="145" spans="1:18" x14ac:dyDescent="0.35">
      <c r="A145" s="67" t="str">
        <f>IF(TRIM(G145)&lt;&gt;"",COUNTA(G$11:$G145)&amp;"","")</f>
        <v>101</v>
      </c>
      <c r="B145" s="311"/>
      <c r="C145" s="311"/>
      <c r="D145" s="30"/>
      <c r="E145" s="72" t="s">
        <v>242</v>
      </c>
      <c r="F145" s="69">
        <f>(F140*11.67)</f>
        <v>308.78820000000002</v>
      </c>
      <c r="G145" s="70" t="s">
        <v>163</v>
      </c>
      <c r="H145" s="21">
        <v>0.1</v>
      </c>
      <c r="I145" s="47">
        <f t="shared" si="218"/>
        <v>339.66702000000004</v>
      </c>
      <c r="J145" s="265">
        <f t="shared" ref="J145" si="225">IF(F145=0,"",0)</f>
        <v>0</v>
      </c>
      <c r="K145" s="268">
        <f t="shared" si="219"/>
        <v>0</v>
      </c>
      <c r="L145" s="258">
        <f t="shared" si="220"/>
        <v>52</v>
      </c>
      <c r="M145" s="282">
        <v>0.05</v>
      </c>
      <c r="N145" s="22">
        <f t="shared" si="221"/>
        <v>16.983351000000003</v>
      </c>
      <c r="O145" s="268">
        <f t="shared" si="222"/>
        <v>883.13425200000017</v>
      </c>
      <c r="P145" s="23">
        <f t="shared" si="223"/>
        <v>2.6</v>
      </c>
      <c r="Q145" s="268">
        <f t="shared" si="224"/>
        <v>883.13425200000017</v>
      </c>
      <c r="R145" s="118"/>
    </row>
    <row r="146" spans="1:18" x14ac:dyDescent="0.35">
      <c r="A146" s="67" t="str">
        <f>IF(TRIM(G146)&lt;&gt;"",COUNTA(G$11:$G146)&amp;"","")</f>
        <v>102</v>
      </c>
      <c r="B146" s="311"/>
      <c r="C146" s="311"/>
      <c r="D146" s="30"/>
      <c r="E146" s="72" t="s">
        <v>270</v>
      </c>
      <c r="F146" s="69">
        <f>F140*11.67</f>
        <v>308.78820000000002</v>
      </c>
      <c r="G146" s="70" t="s">
        <v>163</v>
      </c>
      <c r="H146" s="21">
        <v>0.1</v>
      </c>
      <c r="I146" s="47">
        <f t="shared" si="218"/>
        <v>339.66702000000004</v>
      </c>
      <c r="J146" s="265">
        <v>0.22</v>
      </c>
      <c r="K146" s="268">
        <f t="shared" si="219"/>
        <v>74.726744400000015</v>
      </c>
      <c r="L146" s="258">
        <f t="shared" si="220"/>
        <v>52</v>
      </c>
      <c r="M146" s="282">
        <v>3.0000000000000001E-3</v>
      </c>
      <c r="N146" s="22">
        <f t="shared" si="221"/>
        <v>1.0190010600000001</v>
      </c>
      <c r="O146" s="268">
        <f t="shared" si="222"/>
        <v>52.988055120000006</v>
      </c>
      <c r="P146" s="23">
        <f t="shared" si="223"/>
        <v>0.376</v>
      </c>
      <c r="Q146" s="268">
        <f t="shared" si="224"/>
        <v>127.71479952000001</v>
      </c>
      <c r="R146" s="118"/>
    </row>
    <row r="147" spans="1:18" x14ac:dyDescent="0.35">
      <c r="A147" s="67" t="str">
        <f>IF(TRIM(G147)&lt;&gt;"",COUNTA(G$11:$G147)&amp;"","")</f>
        <v>103</v>
      </c>
      <c r="B147" s="311"/>
      <c r="C147" s="311"/>
      <c r="D147" s="30" t="s">
        <v>260</v>
      </c>
      <c r="E147" s="72" t="s">
        <v>271</v>
      </c>
      <c r="F147" s="69">
        <f>F140*11.67</f>
        <v>308.78820000000002</v>
      </c>
      <c r="G147" s="70" t="s">
        <v>163</v>
      </c>
      <c r="H147" s="21">
        <v>0.1</v>
      </c>
      <c r="I147" s="47">
        <f t="shared" si="218"/>
        <v>339.66702000000004</v>
      </c>
      <c r="J147" s="265">
        <v>0.52</v>
      </c>
      <c r="K147" s="268">
        <f t="shared" si="219"/>
        <v>176.62685040000002</v>
      </c>
      <c r="L147" s="258">
        <f t="shared" si="220"/>
        <v>52</v>
      </c>
      <c r="M147" s="282">
        <v>1.6E-2</v>
      </c>
      <c r="N147" s="22">
        <f t="shared" si="221"/>
        <v>5.4346723200000007</v>
      </c>
      <c r="O147" s="268">
        <f t="shared" si="222"/>
        <v>282.60296064000005</v>
      </c>
      <c r="P147" s="23">
        <f t="shared" si="223"/>
        <v>1.3520000000000001</v>
      </c>
      <c r="Q147" s="268">
        <f t="shared" si="224"/>
        <v>459.22981104000007</v>
      </c>
      <c r="R147" s="118"/>
    </row>
    <row r="148" spans="1:18" x14ac:dyDescent="0.35">
      <c r="A148" s="67" t="str">
        <f>IF(TRIM(G148)&lt;&gt;"",COUNTA(G$11:$G148)&amp;"","")</f>
        <v>104</v>
      </c>
      <c r="B148" s="311"/>
      <c r="C148" s="311"/>
      <c r="D148" s="30"/>
      <c r="E148" s="72" t="s">
        <v>272</v>
      </c>
      <c r="F148" s="69">
        <f>F140*11.67</f>
        <v>308.78820000000002</v>
      </c>
      <c r="G148" s="70" t="s">
        <v>163</v>
      </c>
      <c r="H148" s="21">
        <v>0.1</v>
      </c>
      <c r="I148" s="47">
        <f t="shared" si="218"/>
        <v>339.66702000000004</v>
      </c>
      <c r="J148" s="265">
        <v>1.1299999999999999</v>
      </c>
      <c r="K148" s="268">
        <f t="shared" si="219"/>
        <v>383.82373260000003</v>
      </c>
      <c r="L148" s="258">
        <f t="shared" si="220"/>
        <v>52</v>
      </c>
      <c r="M148" s="282">
        <v>1.4999999999999999E-2</v>
      </c>
      <c r="N148" s="22">
        <f t="shared" si="221"/>
        <v>5.0950053000000004</v>
      </c>
      <c r="O148" s="268">
        <f t="shared" si="222"/>
        <v>264.94027560000001</v>
      </c>
      <c r="P148" s="23">
        <f t="shared" si="223"/>
        <v>1.91</v>
      </c>
      <c r="Q148" s="268">
        <f t="shared" si="224"/>
        <v>648.76400820000003</v>
      </c>
      <c r="R148" s="118"/>
    </row>
    <row r="149" spans="1:18" x14ac:dyDescent="0.35">
      <c r="A149" s="67" t="str">
        <f>IF(TRIM(G149)&lt;&gt;"",COUNTA(G$11:$G149)&amp;"","")</f>
        <v>105</v>
      </c>
      <c r="B149" s="311"/>
      <c r="C149" s="311"/>
      <c r="D149" s="30" t="s">
        <v>260</v>
      </c>
      <c r="E149" s="72" t="s">
        <v>273</v>
      </c>
      <c r="F149" s="69">
        <f>F140*11.67</f>
        <v>308.78820000000002</v>
      </c>
      <c r="G149" s="70" t="s">
        <v>163</v>
      </c>
      <c r="H149" s="21">
        <v>0.1</v>
      </c>
      <c r="I149" s="47">
        <f t="shared" si="218"/>
        <v>339.66702000000004</v>
      </c>
      <c r="J149" s="265">
        <v>1.85</v>
      </c>
      <c r="K149" s="268">
        <f t="shared" si="219"/>
        <v>628.38398700000005</v>
      </c>
      <c r="L149" s="258">
        <f t="shared" si="220"/>
        <v>52</v>
      </c>
      <c r="M149" s="282">
        <v>0.02</v>
      </c>
      <c r="N149" s="22">
        <f t="shared" si="221"/>
        <v>6.7933404000000008</v>
      </c>
      <c r="O149" s="268">
        <f t="shared" si="222"/>
        <v>353.25370080000005</v>
      </c>
      <c r="P149" s="23">
        <f t="shared" si="223"/>
        <v>2.89</v>
      </c>
      <c r="Q149" s="268">
        <f t="shared" si="224"/>
        <v>981.63768780000009</v>
      </c>
      <c r="R149" s="118"/>
    </row>
    <row r="150" spans="1:18" x14ac:dyDescent="0.35">
      <c r="A150" s="67" t="str">
        <f>IF(TRIM(G150)&lt;&gt;"",COUNTA(G$11:$G150)&amp;"","")</f>
        <v>106</v>
      </c>
      <c r="B150" s="311"/>
      <c r="C150" s="311"/>
      <c r="D150" s="30"/>
      <c r="E150" s="72" t="s">
        <v>274</v>
      </c>
      <c r="F150" s="69">
        <f>F140*11.67</f>
        <v>308.78820000000002</v>
      </c>
      <c r="G150" s="70" t="s">
        <v>163</v>
      </c>
      <c r="H150" s="21">
        <v>0.1</v>
      </c>
      <c r="I150" s="47">
        <f t="shared" si="218"/>
        <v>339.66702000000004</v>
      </c>
      <c r="J150" s="265">
        <v>0.2</v>
      </c>
      <c r="K150" s="268">
        <f t="shared" si="219"/>
        <v>67.93340400000001</v>
      </c>
      <c r="L150" s="258">
        <f t="shared" si="220"/>
        <v>52</v>
      </c>
      <c r="M150" s="282">
        <v>3.0000000000000001E-3</v>
      </c>
      <c r="N150" s="22">
        <f t="shared" si="221"/>
        <v>1.0190010600000001</v>
      </c>
      <c r="O150" s="268">
        <f t="shared" si="222"/>
        <v>52.988055120000006</v>
      </c>
      <c r="P150" s="23">
        <f t="shared" si="223"/>
        <v>0.35599999999999998</v>
      </c>
      <c r="Q150" s="268">
        <f t="shared" si="224"/>
        <v>120.92145912000001</v>
      </c>
      <c r="R150" s="118"/>
    </row>
    <row r="151" spans="1:18" x14ac:dyDescent="0.35">
      <c r="A151" s="67" t="str">
        <f>IF(TRIM(G151)&lt;&gt;"",COUNTA(G$11:$G151)&amp;"","")</f>
        <v/>
      </c>
      <c r="B151" s="311"/>
      <c r="C151" s="311"/>
      <c r="D151" s="30"/>
      <c r="E151" s="72"/>
      <c r="F151" s="69"/>
      <c r="G151" s="70"/>
      <c r="H151" s="21" t="str">
        <f t="shared" ref="H151" si="226">IF(F151=0,"",0)</f>
        <v/>
      </c>
      <c r="I151" s="47" t="str">
        <f t="shared" si="218"/>
        <v/>
      </c>
      <c r="J151" s="265" t="str">
        <f t="shared" ref="J151" si="227">IF(F151=0,"",0)</f>
        <v/>
      </c>
      <c r="K151" s="268" t="str">
        <f t="shared" ref="K151" si="228">IF(F151=0,"",J151*I151)</f>
        <v/>
      </c>
      <c r="L151" s="258" t="str">
        <f t="shared" ref="L151" si="229">IF(F151=0,"",L$28)</f>
        <v/>
      </c>
      <c r="M151" s="282" t="str">
        <f t="shared" ref="M151" si="230">IF(F151=0,"",0)</f>
        <v/>
      </c>
      <c r="N151" s="22" t="str">
        <f t="shared" si="221"/>
        <v/>
      </c>
      <c r="O151" s="268" t="str">
        <f t="shared" si="222"/>
        <v/>
      </c>
      <c r="P151" s="23" t="str">
        <f t="shared" si="223"/>
        <v/>
      </c>
      <c r="Q151" s="268" t="str">
        <f t="shared" si="224"/>
        <v/>
      </c>
      <c r="R151" s="118"/>
    </row>
    <row r="152" spans="1:18" ht="58" x14ac:dyDescent="0.35">
      <c r="A152" s="67" t="str">
        <f>IF(TRIM(G152)&lt;&gt;"",COUNTA(G$11:$G152)&amp;"","")</f>
        <v>107</v>
      </c>
      <c r="B152" s="311"/>
      <c r="C152" s="311"/>
      <c r="D152" s="30"/>
      <c r="E152" s="18" t="s">
        <v>280</v>
      </c>
      <c r="F152" s="239">
        <v>49.1</v>
      </c>
      <c r="G152" s="245" t="s">
        <v>177</v>
      </c>
      <c r="H152" s="21"/>
      <c r="I152" s="47"/>
      <c r="J152" s="265"/>
      <c r="K152" s="268"/>
      <c r="L152" s="258"/>
      <c r="M152" s="282"/>
      <c r="N152" s="22"/>
      <c r="O152" s="268"/>
      <c r="P152" s="23"/>
      <c r="Q152" s="268"/>
      <c r="R152" s="118"/>
    </row>
    <row r="153" spans="1:18" x14ac:dyDescent="0.35">
      <c r="A153" s="67" t="str">
        <f>IF(TRIM(G153)&lt;&gt;"",COUNTA(G$11:$G153)&amp;"","")</f>
        <v>108</v>
      </c>
      <c r="B153" s="311"/>
      <c r="C153" s="311"/>
      <c r="D153" s="30"/>
      <c r="E153" s="242" t="s">
        <v>237</v>
      </c>
      <c r="F153" s="69">
        <f>(F152*0.5*2.83)/27</f>
        <v>2.5732037037037037</v>
      </c>
      <c r="G153" s="70" t="s">
        <v>180</v>
      </c>
      <c r="H153" s="21">
        <v>0.1</v>
      </c>
      <c r="I153" s="47">
        <f t="shared" ref="I153:I177" si="231">IF(F153=0,"",F153+(F153*H153))</f>
        <v>2.830524074074074</v>
      </c>
      <c r="J153" s="265">
        <v>215</v>
      </c>
      <c r="K153" s="268">
        <f t="shared" ref="K153:K156" si="232">IF(F153=0,"",J153*I153)</f>
        <v>608.56267592592587</v>
      </c>
      <c r="L153" s="258">
        <f t="shared" ref="L153:L156" si="233">IF(F153=0,"",L$28)</f>
        <v>52</v>
      </c>
      <c r="M153" s="282">
        <v>2.5</v>
      </c>
      <c r="N153" s="22">
        <f t="shared" ref="N153:N177" si="234">IF(F153=0,"",M153*I153)</f>
        <v>7.0763101851851848</v>
      </c>
      <c r="O153" s="268">
        <f t="shared" ref="O153:O177" si="235">IF(F153=0,"",N153*L153)</f>
        <v>367.96812962962963</v>
      </c>
      <c r="P153" s="23">
        <f t="shared" ref="P153:P177" si="236">IF(F153=0,"",(K153+O153)/I153)</f>
        <v>345</v>
      </c>
      <c r="Q153" s="268">
        <f t="shared" ref="Q153:Q177" si="237">IF(F153=0,"",(P153*I153))</f>
        <v>976.5308055555555</v>
      </c>
      <c r="R153" s="118"/>
    </row>
    <row r="154" spans="1:18" x14ac:dyDescent="0.35">
      <c r="A154" s="67" t="str">
        <f>IF(TRIM(G154)&lt;&gt;"",COUNTA(G$11:$G154)&amp;"","")</f>
        <v>109</v>
      </c>
      <c r="B154" s="311"/>
      <c r="C154" s="311"/>
      <c r="D154" s="30"/>
      <c r="E154" s="242" t="s">
        <v>267</v>
      </c>
      <c r="F154" s="69">
        <f>(F152/0.83)*8.67*1.043</f>
        <v>534.94213373493983</v>
      </c>
      <c r="G154" s="70" t="s">
        <v>240</v>
      </c>
      <c r="H154" s="21">
        <v>0.1</v>
      </c>
      <c r="I154" s="47">
        <f t="shared" si="231"/>
        <v>588.43634710843378</v>
      </c>
      <c r="J154" s="265">
        <v>0.93</v>
      </c>
      <c r="K154" s="268">
        <f t="shared" si="232"/>
        <v>547.24580281084343</v>
      </c>
      <c r="L154" s="258">
        <f t="shared" si="233"/>
        <v>52</v>
      </c>
      <c r="M154" s="282">
        <v>0.01</v>
      </c>
      <c r="N154" s="22">
        <f t="shared" si="234"/>
        <v>5.8843634710843382</v>
      </c>
      <c r="O154" s="268">
        <f t="shared" si="235"/>
        <v>305.9869004963856</v>
      </c>
      <c r="P154" s="23">
        <f t="shared" si="236"/>
        <v>1.4500000000000002</v>
      </c>
      <c r="Q154" s="268">
        <f t="shared" si="237"/>
        <v>853.23270330722903</v>
      </c>
      <c r="R154" s="118"/>
    </row>
    <row r="155" spans="1:18" x14ac:dyDescent="0.35">
      <c r="A155" s="67" t="str">
        <f>IF(TRIM(G155)&lt;&gt;"",COUNTA(G$11:$G155)&amp;"","")</f>
        <v>110</v>
      </c>
      <c r="B155" s="311"/>
      <c r="C155" s="311"/>
      <c r="D155" s="30"/>
      <c r="E155" s="242" t="s">
        <v>268</v>
      </c>
      <c r="F155" s="69">
        <f>(F152/1.83)*2*0.5*0.668</f>
        <v>17.922841530054644</v>
      </c>
      <c r="G155" s="70" t="s">
        <v>240</v>
      </c>
      <c r="H155" s="21">
        <v>0.1</v>
      </c>
      <c r="I155" s="47">
        <f t="shared" si="231"/>
        <v>19.715125683060108</v>
      </c>
      <c r="J155" s="265">
        <v>0.93</v>
      </c>
      <c r="K155" s="268">
        <f t="shared" si="232"/>
        <v>18.335066885245901</v>
      </c>
      <c r="L155" s="258">
        <f t="shared" si="233"/>
        <v>52</v>
      </c>
      <c r="M155" s="282">
        <v>0.01</v>
      </c>
      <c r="N155" s="22">
        <f t="shared" si="234"/>
        <v>0.19715125683060108</v>
      </c>
      <c r="O155" s="268">
        <f t="shared" si="235"/>
        <v>10.251865355191256</v>
      </c>
      <c r="P155" s="23">
        <f t="shared" si="236"/>
        <v>1.45</v>
      </c>
      <c r="Q155" s="268">
        <f t="shared" si="237"/>
        <v>28.586932240437157</v>
      </c>
      <c r="R155" s="118"/>
    </row>
    <row r="156" spans="1:18" x14ac:dyDescent="0.35">
      <c r="A156" s="67" t="str">
        <f>IF(TRIM(G156)&lt;&gt;"",COUNTA(G$11:$G156)&amp;"","")</f>
        <v>111</v>
      </c>
      <c r="B156" s="311"/>
      <c r="C156" s="311"/>
      <c r="D156" s="30"/>
      <c r="E156" s="242" t="s">
        <v>269</v>
      </c>
      <c r="F156" s="69">
        <f>(F152/0.83)*2*4.5*1.043</f>
        <v>555.30325301204823</v>
      </c>
      <c r="G156" s="70" t="s">
        <v>240</v>
      </c>
      <c r="H156" s="21">
        <v>0.1</v>
      </c>
      <c r="I156" s="47">
        <f t="shared" si="231"/>
        <v>610.83357831325304</v>
      </c>
      <c r="J156" s="265">
        <v>0.93</v>
      </c>
      <c r="K156" s="268">
        <f t="shared" si="232"/>
        <v>568.07522783132538</v>
      </c>
      <c r="L156" s="258">
        <f t="shared" si="233"/>
        <v>52</v>
      </c>
      <c r="M156" s="282">
        <v>0.01</v>
      </c>
      <c r="N156" s="22">
        <f t="shared" si="234"/>
        <v>6.1083357831325307</v>
      </c>
      <c r="O156" s="268">
        <f t="shared" si="235"/>
        <v>317.63346072289158</v>
      </c>
      <c r="P156" s="23">
        <f t="shared" si="236"/>
        <v>1.45</v>
      </c>
      <c r="Q156" s="268">
        <f t="shared" si="237"/>
        <v>885.70868855421691</v>
      </c>
      <c r="R156" s="118"/>
    </row>
    <row r="157" spans="1:18" x14ac:dyDescent="0.35">
      <c r="A157" s="67" t="str">
        <f>IF(TRIM(G157)&lt;&gt;"",COUNTA(G$11:$G157)&amp;"","")</f>
        <v>112</v>
      </c>
      <c r="B157" s="311"/>
      <c r="C157" s="311"/>
      <c r="D157" s="30"/>
      <c r="E157" s="242" t="s">
        <v>277</v>
      </c>
      <c r="F157" s="69">
        <f>F152</f>
        <v>49.1</v>
      </c>
      <c r="G157" s="70" t="s">
        <v>177</v>
      </c>
      <c r="H157" s="21">
        <v>0.1</v>
      </c>
      <c r="I157" s="47">
        <f t="shared" si="231"/>
        <v>54.010000000000005</v>
      </c>
      <c r="J157" s="265">
        <v>1.1000000000000001</v>
      </c>
      <c r="K157" s="268">
        <f t="shared" ref="K157:K177" si="238">IF(F157=0,"",J157*I157)</f>
        <v>59.411000000000008</v>
      </c>
      <c r="L157" s="258">
        <f t="shared" ref="L157:L177" si="239">IF(F157=0,"",L$28)</f>
        <v>52</v>
      </c>
      <c r="M157" s="282">
        <v>0.02</v>
      </c>
      <c r="N157" s="22">
        <f t="shared" si="234"/>
        <v>1.0802</v>
      </c>
      <c r="O157" s="268">
        <f t="shared" si="235"/>
        <v>56.170400000000001</v>
      </c>
      <c r="P157" s="23">
        <f t="shared" si="236"/>
        <v>2.1399999999999997</v>
      </c>
      <c r="Q157" s="268">
        <f t="shared" si="237"/>
        <v>115.58139999999999</v>
      </c>
      <c r="R157" s="118"/>
    </row>
    <row r="158" spans="1:18" x14ac:dyDescent="0.35">
      <c r="A158" s="67" t="str">
        <f>IF(TRIM(G158)&lt;&gt;"",COUNTA(G$11:$G158)&amp;"","")</f>
        <v>113</v>
      </c>
      <c r="B158" s="311"/>
      <c r="C158" s="311"/>
      <c r="D158" s="30"/>
      <c r="E158" s="242" t="s">
        <v>274</v>
      </c>
      <c r="F158" s="69">
        <f>(F152*2.83)</f>
        <v>138.953</v>
      </c>
      <c r="G158" s="70" t="s">
        <v>163</v>
      </c>
      <c r="H158" s="21">
        <v>0.1</v>
      </c>
      <c r="I158" s="47">
        <f t="shared" si="231"/>
        <v>152.84829999999999</v>
      </c>
      <c r="J158" s="265">
        <v>0.2</v>
      </c>
      <c r="K158" s="268">
        <f t="shared" si="238"/>
        <v>30.569659999999999</v>
      </c>
      <c r="L158" s="258">
        <f t="shared" si="239"/>
        <v>52</v>
      </c>
      <c r="M158" s="282">
        <v>3.0000000000000001E-3</v>
      </c>
      <c r="N158" s="22">
        <f t="shared" si="234"/>
        <v>0.45854489999999998</v>
      </c>
      <c r="O158" s="268">
        <f t="shared" si="235"/>
        <v>23.844334799999999</v>
      </c>
      <c r="P158" s="23">
        <f t="shared" si="236"/>
        <v>0.35599999999999998</v>
      </c>
      <c r="Q158" s="268">
        <f t="shared" si="237"/>
        <v>54.413994799999998</v>
      </c>
      <c r="R158" s="118"/>
    </row>
    <row r="159" spans="1:18" x14ac:dyDescent="0.35">
      <c r="A159" s="67" t="str">
        <f>IF(TRIM(G159)&lt;&gt;"",COUNTA(G$11:$G159)&amp;"","")</f>
        <v>114</v>
      </c>
      <c r="B159" s="311"/>
      <c r="C159" s="311"/>
      <c r="D159" s="30"/>
      <c r="E159" s="242" t="s">
        <v>278</v>
      </c>
      <c r="F159" s="69">
        <f>F152</f>
        <v>49.1</v>
      </c>
      <c r="G159" s="70" t="s">
        <v>177</v>
      </c>
      <c r="H159" s="21">
        <v>0.1</v>
      </c>
      <c r="I159" s="47">
        <f t="shared" si="231"/>
        <v>54.010000000000005</v>
      </c>
      <c r="J159" s="265">
        <v>0.35</v>
      </c>
      <c r="K159" s="268">
        <f t="shared" si="238"/>
        <v>18.903500000000001</v>
      </c>
      <c r="L159" s="258">
        <f t="shared" si="239"/>
        <v>52</v>
      </c>
      <c r="M159" s="282">
        <v>3.0000000000000001E-3</v>
      </c>
      <c r="N159" s="22">
        <f t="shared" si="234"/>
        <v>0.16203000000000001</v>
      </c>
      <c r="O159" s="268">
        <f t="shared" si="235"/>
        <v>8.4255600000000008</v>
      </c>
      <c r="P159" s="23">
        <f t="shared" si="236"/>
        <v>0.50600000000000001</v>
      </c>
      <c r="Q159" s="268">
        <f t="shared" si="237"/>
        <v>27.329060000000002</v>
      </c>
      <c r="R159" s="118"/>
    </row>
    <row r="160" spans="1:18" x14ac:dyDescent="0.35">
      <c r="A160" s="67" t="str">
        <f>IF(TRIM(G160)&lt;&gt;"",COUNTA(G$11:$G160)&amp;"","")</f>
        <v>115</v>
      </c>
      <c r="B160" s="311"/>
      <c r="C160" s="311"/>
      <c r="D160" s="30"/>
      <c r="E160" s="242" t="s">
        <v>279</v>
      </c>
      <c r="F160" s="69">
        <f>(F152*2.83)</f>
        <v>138.953</v>
      </c>
      <c r="G160" s="70" t="s">
        <v>163</v>
      </c>
      <c r="H160" s="21">
        <v>0.1</v>
      </c>
      <c r="I160" s="47">
        <f t="shared" si="231"/>
        <v>152.84829999999999</v>
      </c>
      <c r="J160" s="265">
        <v>0.2</v>
      </c>
      <c r="K160" s="268">
        <f t="shared" si="238"/>
        <v>30.569659999999999</v>
      </c>
      <c r="L160" s="258">
        <f t="shared" si="239"/>
        <v>52</v>
      </c>
      <c r="M160" s="282">
        <v>1.2E-2</v>
      </c>
      <c r="N160" s="22">
        <f t="shared" si="234"/>
        <v>1.8341795999999999</v>
      </c>
      <c r="O160" s="268">
        <f t="shared" si="235"/>
        <v>95.377339199999994</v>
      </c>
      <c r="P160" s="23">
        <f t="shared" si="236"/>
        <v>0.82399999999999995</v>
      </c>
      <c r="Q160" s="268">
        <f t="shared" si="237"/>
        <v>125.94699919999999</v>
      </c>
      <c r="R160" s="118"/>
    </row>
    <row r="161" spans="1:18" x14ac:dyDescent="0.35">
      <c r="A161" s="67" t="str">
        <f>IF(TRIM(G161)&lt;&gt;"",COUNTA(G$11:$G161)&amp;"","")</f>
        <v/>
      </c>
      <c r="B161" s="311"/>
      <c r="C161" s="311"/>
      <c r="D161" s="30"/>
      <c r="E161" s="72"/>
      <c r="F161" s="69"/>
      <c r="G161" s="70"/>
      <c r="H161" s="21" t="str">
        <f t="shared" ref="H161:H177" si="240">IF(F161=0,"",0)</f>
        <v/>
      </c>
      <c r="I161" s="47" t="str">
        <f t="shared" si="231"/>
        <v/>
      </c>
      <c r="J161" s="265" t="str">
        <f t="shared" ref="J161:J177" si="241">IF(F161=0,"",0)</f>
        <v/>
      </c>
      <c r="K161" s="268" t="str">
        <f t="shared" si="238"/>
        <v/>
      </c>
      <c r="L161" s="258" t="str">
        <f t="shared" si="239"/>
        <v/>
      </c>
      <c r="M161" s="282" t="str">
        <f t="shared" ref="M161:M177" si="242">IF(F161=0,"",0)</f>
        <v/>
      </c>
      <c r="N161" s="22" t="str">
        <f t="shared" si="234"/>
        <v/>
      </c>
      <c r="O161" s="268" t="str">
        <f t="shared" si="235"/>
        <v/>
      </c>
      <c r="P161" s="23" t="str">
        <f t="shared" si="236"/>
        <v/>
      </c>
      <c r="Q161" s="268" t="str">
        <f t="shared" si="237"/>
        <v/>
      </c>
      <c r="R161" s="118"/>
    </row>
    <row r="162" spans="1:18" ht="58" x14ac:dyDescent="0.35">
      <c r="A162" s="67" t="str">
        <f>IF(TRIM(G162)&lt;&gt;"",COUNTA(G$11:$G162)&amp;"","")</f>
        <v>116</v>
      </c>
      <c r="B162" s="311"/>
      <c r="C162" s="311"/>
      <c r="D162" s="30"/>
      <c r="E162" s="18" t="s">
        <v>281</v>
      </c>
      <c r="F162" s="239">
        <v>26.46</v>
      </c>
      <c r="G162" s="245" t="s">
        <v>177</v>
      </c>
      <c r="H162" s="21"/>
      <c r="I162" s="47"/>
      <c r="J162" s="265"/>
      <c r="K162" s="268"/>
      <c r="L162" s="258"/>
      <c r="M162" s="282"/>
      <c r="N162" s="22"/>
      <c r="O162" s="268"/>
      <c r="P162" s="23"/>
      <c r="Q162" s="268"/>
      <c r="R162" s="118"/>
    </row>
    <row r="163" spans="1:18" x14ac:dyDescent="0.35">
      <c r="A163" s="67" t="str">
        <f>IF(TRIM(G163)&lt;&gt;"",COUNTA(G$11:$G163)&amp;"","")</f>
        <v>117</v>
      </c>
      <c r="B163" s="311"/>
      <c r="C163" s="311"/>
      <c r="D163" s="30"/>
      <c r="E163" s="242" t="s">
        <v>237</v>
      </c>
      <c r="F163" s="246">
        <f>(F162*0.5*1)/27</f>
        <v>0.49</v>
      </c>
      <c r="G163" s="70" t="s">
        <v>180</v>
      </c>
      <c r="H163" s="21">
        <v>0.1</v>
      </c>
      <c r="I163" s="47">
        <f t="shared" ref="I163:I170" si="243">IF(F163=0,"",F163+(F163*H163))</f>
        <v>0.53900000000000003</v>
      </c>
      <c r="J163" s="265">
        <v>215</v>
      </c>
      <c r="K163" s="268">
        <f t="shared" ref="K163:K170" si="244">IF(F163=0,"",J163*I163)</f>
        <v>115.88500000000001</v>
      </c>
      <c r="L163" s="258">
        <f t="shared" ref="L163:L170" si="245">IF(F163=0,"",L$28)</f>
        <v>52</v>
      </c>
      <c r="M163" s="282">
        <v>2.5</v>
      </c>
      <c r="N163" s="22">
        <f t="shared" ref="N163:N170" si="246">IF(F163=0,"",M163*I163)</f>
        <v>1.3475000000000001</v>
      </c>
      <c r="O163" s="268">
        <f t="shared" ref="O163:O170" si="247">IF(F163=0,"",N163*L163)</f>
        <v>70.070000000000007</v>
      </c>
      <c r="P163" s="23">
        <f t="shared" ref="P163:P170" si="248">IF(F163=0,"",(K163+O163)/I163)</f>
        <v>345</v>
      </c>
      <c r="Q163" s="268">
        <f t="shared" ref="Q163:Q170" si="249">IF(F163=0,"",(P163*I163))</f>
        <v>185.95500000000001</v>
      </c>
      <c r="R163" s="118"/>
    </row>
    <row r="164" spans="1:18" x14ac:dyDescent="0.35">
      <c r="A164" s="67" t="str">
        <f>IF(TRIM(G164)&lt;&gt;"",COUNTA(G$11:$G164)&amp;"","")</f>
        <v>118</v>
      </c>
      <c r="B164" s="311"/>
      <c r="C164" s="311"/>
      <c r="D164" s="30"/>
      <c r="E164" s="242" t="s">
        <v>267</v>
      </c>
      <c r="F164" s="69">
        <f>(F162/0.83)*8.67*1.043</f>
        <v>288.28042481927707</v>
      </c>
      <c r="G164" s="70" t="s">
        <v>240</v>
      </c>
      <c r="H164" s="21">
        <v>0.1</v>
      </c>
      <c r="I164" s="47">
        <f t="shared" si="243"/>
        <v>317.10846730120477</v>
      </c>
      <c r="J164" s="265">
        <v>0.93</v>
      </c>
      <c r="K164" s="268">
        <f t="shared" si="244"/>
        <v>294.91087459012044</v>
      </c>
      <c r="L164" s="258">
        <f t="shared" si="245"/>
        <v>52</v>
      </c>
      <c r="M164" s="282">
        <v>0.01</v>
      </c>
      <c r="N164" s="22">
        <f t="shared" si="246"/>
        <v>3.1710846730120479</v>
      </c>
      <c r="O164" s="268">
        <f t="shared" si="247"/>
        <v>164.89640299662648</v>
      </c>
      <c r="P164" s="23">
        <f t="shared" si="248"/>
        <v>1.45</v>
      </c>
      <c r="Q164" s="268">
        <f t="shared" si="249"/>
        <v>459.80727758674692</v>
      </c>
      <c r="R164" s="118"/>
    </row>
    <row r="165" spans="1:18" x14ac:dyDescent="0.35">
      <c r="A165" s="67" t="str">
        <f>IF(TRIM(G165)&lt;&gt;"",COUNTA(G$11:$G165)&amp;"","")</f>
        <v>119</v>
      </c>
      <c r="B165" s="311"/>
      <c r="C165" s="311"/>
      <c r="D165" s="30"/>
      <c r="E165" s="242" t="s">
        <v>268</v>
      </c>
      <c r="F165" s="69">
        <f>(F162/1.83)*2*0.5*0.668</f>
        <v>9.658622950819673</v>
      </c>
      <c r="G165" s="70" t="s">
        <v>240</v>
      </c>
      <c r="H165" s="21">
        <v>0.1</v>
      </c>
      <c r="I165" s="47">
        <f t="shared" si="243"/>
        <v>10.62448524590164</v>
      </c>
      <c r="J165" s="265">
        <v>0.93</v>
      </c>
      <c r="K165" s="268">
        <f t="shared" si="244"/>
        <v>9.8807712786885258</v>
      </c>
      <c r="L165" s="258">
        <f t="shared" si="245"/>
        <v>52</v>
      </c>
      <c r="M165" s="282">
        <v>0.01</v>
      </c>
      <c r="N165" s="22">
        <f t="shared" si="246"/>
        <v>0.10624485245901641</v>
      </c>
      <c r="O165" s="268">
        <f t="shared" si="247"/>
        <v>5.5247323278688532</v>
      </c>
      <c r="P165" s="23">
        <f t="shared" si="248"/>
        <v>1.45</v>
      </c>
      <c r="Q165" s="268">
        <f t="shared" si="249"/>
        <v>15.405503606557378</v>
      </c>
      <c r="R165" s="118"/>
    </row>
    <row r="166" spans="1:18" x14ac:dyDescent="0.35">
      <c r="A166" s="67" t="str">
        <f>IF(TRIM(G166)&lt;&gt;"",COUNTA(G$11:$G166)&amp;"","")</f>
        <v>120</v>
      </c>
      <c r="B166" s="311"/>
      <c r="C166" s="311"/>
      <c r="D166" s="30"/>
      <c r="E166" s="242" t="s">
        <v>269</v>
      </c>
      <c r="F166" s="69">
        <f>(F162/0.83)*2*4.5*1.043</f>
        <v>299.25303614457829</v>
      </c>
      <c r="G166" s="70" t="s">
        <v>240</v>
      </c>
      <c r="H166" s="21">
        <v>0.1</v>
      </c>
      <c r="I166" s="47">
        <f t="shared" si="243"/>
        <v>329.17833975903613</v>
      </c>
      <c r="J166" s="265">
        <v>0.93</v>
      </c>
      <c r="K166" s="268">
        <f t="shared" si="244"/>
        <v>306.13585597590361</v>
      </c>
      <c r="L166" s="258">
        <f t="shared" si="245"/>
        <v>52</v>
      </c>
      <c r="M166" s="282">
        <v>0.01</v>
      </c>
      <c r="N166" s="22">
        <f t="shared" si="246"/>
        <v>3.2917833975903612</v>
      </c>
      <c r="O166" s="268">
        <f t="shared" si="247"/>
        <v>171.1727366746988</v>
      </c>
      <c r="P166" s="23">
        <f t="shared" si="248"/>
        <v>1.45</v>
      </c>
      <c r="Q166" s="268">
        <f t="shared" si="249"/>
        <v>477.30859265060241</v>
      </c>
      <c r="R166" s="118"/>
    </row>
    <row r="167" spans="1:18" x14ac:dyDescent="0.35">
      <c r="A167" s="67" t="str">
        <f>IF(TRIM(G167)&lt;&gt;"",COUNTA(G$11:$G167)&amp;"","")</f>
        <v>121</v>
      </c>
      <c r="B167" s="311"/>
      <c r="C167" s="311"/>
      <c r="D167" s="30"/>
      <c r="E167" s="242" t="s">
        <v>277</v>
      </c>
      <c r="F167" s="69">
        <f>F162</f>
        <v>26.46</v>
      </c>
      <c r="G167" s="70" t="s">
        <v>177</v>
      </c>
      <c r="H167" s="21">
        <v>0.1</v>
      </c>
      <c r="I167" s="47">
        <f t="shared" si="243"/>
        <v>29.106000000000002</v>
      </c>
      <c r="J167" s="265">
        <v>1.1000000000000001</v>
      </c>
      <c r="K167" s="268">
        <f t="shared" si="244"/>
        <v>32.016600000000004</v>
      </c>
      <c r="L167" s="258">
        <f t="shared" si="245"/>
        <v>52</v>
      </c>
      <c r="M167" s="282">
        <v>0.02</v>
      </c>
      <c r="N167" s="22">
        <f t="shared" si="246"/>
        <v>0.58212000000000008</v>
      </c>
      <c r="O167" s="268">
        <f t="shared" si="247"/>
        <v>30.270240000000005</v>
      </c>
      <c r="P167" s="23">
        <f t="shared" si="248"/>
        <v>2.14</v>
      </c>
      <c r="Q167" s="268">
        <f t="shared" si="249"/>
        <v>62.286840000000005</v>
      </c>
      <c r="R167" s="118"/>
    </row>
    <row r="168" spans="1:18" x14ac:dyDescent="0.35">
      <c r="A168" s="67" t="str">
        <f>IF(TRIM(G168)&lt;&gt;"",COUNTA(G$11:$G168)&amp;"","")</f>
        <v>122</v>
      </c>
      <c r="B168" s="311"/>
      <c r="C168" s="311"/>
      <c r="D168" s="30"/>
      <c r="E168" s="242" t="s">
        <v>274</v>
      </c>
      <c r="F168" s="69">
        <f>(F162*1)</f>
        <v>26.46</v>
      </c>
      <c r="G168" s="70" t="s">
        <v>163</v>
      </c>
      <c r="H168" s="21">
        <v>0.1</v>
      </c>
      <c r="I168" s="47">
        <f t="shared" si="243"/>
        <v>29.106000000000002</v>
      </c>
      <c r="J168" s="265">
        <v>0.2</v>
      </c>
      <c r="K168" s="268">
        <f t="shared" si="244"/>
        <v>5.821200000000001</v>
      </c>
      <c r="L168" s="258">
        <f t="shared" si="245"/>
        <v>52</v>
      </c>
      <c r="M168" s="282">
        <v>3.0000000000000001E-3</v>
      </c>
      <c r="N168" s="22">
        <f t="shared" si="246"/>
        <v>8.7318000000000007E-2</v>
      </c>
      <c r="O168" s="268">
        <f t="shared" si="247"/>
        <v>4.5405360000000003</v>
      </c>
      <c r="P168" s="23">
        <f t="shared" si="248"/>
        <v>0.35599999999999998</v>
      </c>
      <c r="Q168" s="268">
        <f t="shared" si="249"/>
        <v>10.361736000000001</v>
      </c>
      <c r="R168" s="118"/>
    </row>
    <row r="169" spans="1:18" x14ac:dyDescent="0.35">
      <c r="A169" s="67" t="str">
        <f>IF(TRIM(G169)&lt;&gt;"",COUNTA(G$11:$G169)&amp;"","")</f>
        <v>123</v>
      </c>
      <c r="B169" s="311"/>
      <c r="C169" s="311"/>
      <c r="D169" s="30"/>
      <c r="E169" s="242" t="s">
        <v>278</v>
      </c>
      <c r="F169" s="69">
        <f>F162</f>
        <v>26.46</v>
      </c>
      <c r="G169" s="70" t="s">
        <v>177</v>
      </c>
      <c r="H169" s="21">
        <v>0.1</v>
      </c>
      <c r="I169" s="47">
        <f t="shared" si="243"/>
        <v>29.106000000000002</v>
      </c>
      <c r="J169" s="265">
        <v>0.35</v>
      </c>
      <c r="K169" s="268">
        <f t="shared" si="244"/>
        <v>10.187099999999999</v>
      </c>
      <c r="L169" s="258">
        <f t="shared" si="245"/>
        <v>52</v>
      </c>
      <c r="M169" s="282">
        <v>3.0000000000000001E-3</v>
      </c>
      <c r="N169" s="22">
        <f t="shared" si="246"/>
        <v>8.7318000000000007E-2</v>
      </c>
      <c r="O169" s="268">
        <f t="shared" si="247"/>
        <v>4.5405360000000003</v>
      </c>
      <c r="P169" s="23">
        <f t="shared" si="248"/>
        <v>0.50600000000000001</v>
      </c>
      <c r="Q169" s="268">
        <f t="shared" si="249"/>
        <v>14.727636</v>
      </c>
      <c r="R169" s="118"/>
    </row>
    <row r="170" spans="1:18" x14ac:dyDescent="0.35">
      <c r="A170" s="67" t="str">
        <f>IF(TRIM(G170)&lt;&gt;"",COUNTA(G$11:$G170)&amp;"","")</f>
        <v>124</v>
      </c>
      <c r="B170" s="311"/>
      <c r="C170" s="311"/>
      <c r="D170" s="30"/>
      <c r="E170" s="242" t="s">
        <v>279</v>
      </c>
      <c r="F170" s="69">
        <f>F162</f>
        <v>26.46</v>
      </c>
      <c r="G170" s="70" t="s">
        <v>163</v>
      </c>
      <c r="H170" s="21">
        <v>0.1</v>
      </c>
      <c r="I170" s="47">
        <f t="shared" si="243"/>
        <v>29.106000000000002</v>
      </c>
      <c r="J170" s="265">
        <v>0.2</v>
      </c>
      <c r="K170" s="268">
        <f t="shared" si="244"/>
        <v>5.821200000000001</v>
      </c>
      <c r="L170" s="258">
        <f t="shared" si="245"/>
        <v>52</v>
      </c>
      <c r="M170" s="282">
        <v>1.2E-2</v>
      </c>
      <c r="N170" s="22">
        <f t="shared" si="246"/>
        <v>0.34927200000000003</v>
      </c>
      <c r="O170" s="268">
        <f t="shared" si="247"/>
        <v>18.162144000000001</v>
      </c>
      <c r="P170" s="23">
        <f t="shared" si="248"/>
        <v>0.82400000000000007</v>
      </c>
      <c r="Q170" s="268">
        <f t="shared" si="249"/>
        <v>23.983344000000002</v>
      </c>
      <c r="R170" s="118"/>
    </row>
    <row r="171" spans="1:18" x14ac:dyDescent="0.35">
      <c r="A171" s="67" t="str">
        <f>IF(TRIM(G171)&lt;&gt;"",COUNTA(G$11:$G171)&amp;"","")</f>
        <v/>
      </c>
      <c r="B171" s="311"/>
      <c r="C171" s="311"/>
      <c r="D171" s="30"/>
      <c r="E171" s="72"/>
      <c r="F171" s="69"/>
      <c r="G171" s="70"/>
      <c r="H171" s="21" t="str">
        <f t="shared" si="240"/>
        <v/>
      </c>
      <c r="I171" s="47" t="str">
        <f t="shared" si="231"/>
        <v/>
      </c>
      <c r="J171" s="265" t="str">
        <f t="shared" si="241"/>
        <v/>
      </c>
      <c r="K171" s="268" t="str">
        <f t="shared" si="238"/>
        <v/>
      </c>
      <c r="L171" s="258" t="str">
        <f t="shared" si="239"/>
        <v/>
      </c>
      <c r="M171" s="282" t="str">
        <f t="shared" si="242"/>
        <v/>
      </c>
      <c r="N171" s="22" t="str">
        <f t="shared" si="234"/>
        <v/>
      </c>
      <c r="O171" s="268" t="str">
        <f t="shared" si="235"/>
        <v/>
      </c>
      <c r="P171" s="23" t="str">
        <f t="shared" si="236"/>
        <v/>
      </c>
      <c r="Q171" s="268" t="str">
        <f t="shared" si="237"/>
        <v/>
      </c>
      <c r="R171" s="118"/>
    </row>
    <row r="172" spans="1:18" ht="43.5" x14ac:dyDescent="0.35">
      <c r="A172" s="67" t="str">
        <f>IF(TRIM(G172)&lt;&gt;"",COUNTA(G$11:$G172)&amp;"","")</f>
        <v>125</v>
      </c>
      <c r="B172" s="311"/>
      <c r="C172" s="311"/>
      <c r="D172" s="30"/>
      <c r="E172" s="18" t="s">
        <v>282</v>
      </c>
      <c r="F172" s="239">
        <v>20.14</v>
      </c>
      <c r="G172" s="245" t="s">
        <v>177</v>
      </c>
      <c r="H172" s="21"/>
      <c r="I172" s="47"/>
      <c r="J172" s="265"/>
      <c r="K172" s="268"/>
      <c r="L172" s="258"/>
      <c r="M172" s="282"/>
      <c r="N172" s="22"/>
      <c r="O172" s="268"/>
      <c r="P172" s="23"/>
      <c r="Q172" s="268"/>
      <c r="R172" s="118"/>
    </row>
    <row r="173" spans="1:18" x14ac:dyDescent="0.35">
      <c r="A173" s="67" t="str">
        <f>IF(TRIM(G173)&lt;&gt;"",COUNTA(G$11:$G173)&amp;"","")</f>
        <v>126</v>
      </c>
      <c r="B173" s="311"/>
      <c r="C173" s="311"/>
      <c r="D173" s="30"/>
      <c r="E173" s="72" t="s">
        <v>237</v>
      </c>
      <c r="F173" s="69">
        <f>(F172*0.5*2.5)/27</f>
        <v>0.93240740740740746</v>
      </c>
      <c r="G173" s="70" t="s">
        <v>180</v>
      </c>
      <c r="H173" s="21">
        <v>0.1</v>
      </c>
      <c r="I173" s="47">
        <f t="shared" si="231"/>
        <v>1.0256481481481483</v>
      </c>
      <c r="J173" s="265">
        <v>215</v>
      </c>
      <c r="K173" s="268">
        <f t="shared" ref="K173:K175" si="250">IF(F173=0,"",J173*I173)</f>
        <v>220.5143518518519</v>
      </c>
      <c r="L173" s="258">
        <f t="shared" ref="L173:L175" si="251">IF(F173=0,"",L$28)</f>
        <v>52</v>
      </c>
      <c r="M173" s="282">
        <v>2.5</v>
      </c>
      <c r="N173" s="22">
        <f t="shared" si="234"/>
        <v>2.5641203703703708</v>
      </c>
      <c r="O173" s="268">
        <f t="shared" si="235"/>
        <v>133.33425925925928</v>
      </c>
      <c r="P173" s="23">
        <f t="shared" si="236"/>
        <v>345</v>
      </c>
      <c r="Q173" s="268">
        <f t="shared" si="237"/>
        <v>353.84861111111115</v>
      </c>
      <c r="R173" s="118"/>
    </row>
    <row r="174" spans="1:18" x14ac:dyDescent="0.35">
      <c r="A174" s="67" t="str">
        <f>IF(TRIM(G174)&lt;&gt;"",COUNTA(G$11:$G174)&amp;"","")</f>
        <v>127</v>
      </c>
      <c r="B174" s="311"/>
      <c r="C174" s="311"/>
      <c r="D174" s="30"/>
      <c r="E174" s="72" t="s">
        <v>283</v>
      </c>
      <c r="F174" s="69">
        <f>(F172/1)*3.83*1.043</f>
        <v>80.453056599999996</v>
      </c>
      <c r="G174" s="70" t="s">
        <v>240</v>
      </c>
      <c r="H174" s="21">
        <v>0.1</v>
      </c>
      <c r="I174" s="47">
        <f t="shared" si="231"/>
        <v>88.498362259999993</v>
      </c>
      <c r="J174" s="265">
        <v>0.93</v>
      </c>
      <c r="K174" s="268">
        <f t="shared" si="250"/>
        <v>82.303476901799996</v>
      </c>
      <c r="L174" s="258">
        <f t="shared" si="251"/>
        <v>52</v>
      </c>
      <c r="M174" s="282">
        <v>0.01</v>
      </c>
      <c r="N174" s="22">
        <f t="shared" si="234"/>
        <v>0.88498362259999996</v>
      </c>
      <c r="O174" s="268">
        <f t="shared" si="235"/>
        <v>46.019148375199997</v>
      </c>
      <c r="P174" s="23">
        <f t="shared" si="236"/>
        <v>1.45</v>
      </c>
      <c r="Q174" s="268">
        <f t="shared" si="237"/>
        <v>128.32262527699999</v>
      </c>
      <c r="R174" s="118"/>
    </row>
    <row r="175" spans="1:18" x14ac:dyDescent="0.35">
      <c r="A175" s="67" t="str">
        <f>IF(TRIM(G175)&lt;&gt;"",COUNTA(G$11:$G175)&amp;"","")</f>
        <v>128</v>
      </c>
      <c r="B175" s="311"/>
      <c r="C175" s="311"/>
      <c r="D175" s="30"/>
      <c r="E175" s="72" t="s">
        <v>246</v>
      </c>
      <c r="F175" s="69">
        <f>(F172/1)*0.33*0.668</f>
        <v>4.4396616000000009</v>
      </c>
      <c r="G175" s="70" t="s">
        <v>240</v>
      </c>
      <c r="H175" s="21">
        <v>0.1</v>
      </c>
      <c r="I175" s="47">
        <f t="shared" si="231"/>
        <v>4.8836277600000013</v>
      </c>
      <c r="J175" s="265">
        <v>0.93</v>
      </c>
      <c r="K175" s="268">
        <f t="shared" si="250"/>
        <v>4.541773816800001</v>
      </c>
      <c r="L175" s="258">
        <f t="shared" si="251"/>
        <v>52</v>
      </c>
      <c r="M175" s="282">
        <v>0.01</v>
      </c>
      <c r="N175" s="22">
        <f t="shared" si="234"/>
        <v>4.8836277600000012E-2</v>
      </c>
      <c r="O175" s="268">
        <f t="shared" si="235"/>
        <v>2.5394864352000006</v>
      </c>
      <c r="P175" s="23">
        <f t="shared" si="236"/>
        <v>1.45</v>
      </c>
      <c r="Q175" s="268">
        <f t="shared" si="237"/>
        <v>7.0812602520000016</v>
      </c>
      <c r="R175" s="118"/>
    </row>
    <row r="176" spans="1:18" x14ac:dyDescent="0.35">
      <c r="A176" s="67" t="str">
        <f>IF(TRIM(G176)&lt;&gt;"",COUNTA(G$11:$G176)&amp;"","")</f>
        <v>129</v>
      </c>
      <c r="B176" s="311"/>
      <c r="C176" s="311"/>
      <c r="D176" s="30"/>
      <c r="E176" s="72" t="s">
        <v>242</v>
      </c>
      <c r="F176" s="69">
        <f>(F172*2.5)*2</f>
        <v>100.7</v>
      </c>
      <c r="G176" s="70" t="s">
        <v>163</v>
      </c>
      <c r="H176" s="21">
        <v>0.1</v>
      </c>
      <c r="I176" s="47">
        <f t="shared" si="231"/>
        <v>110.77000000000001</v>
      </c>
      <c r="J176" s="265">
        <f t="shared" si="241"/>
        <v>0</v>
      </c>
      <c r="K176" s="268">
        <f t="shared" si="238"/>
        <v>0</v>
      </c>
      <c r="L176" s="258">
        <f t="shared" si="239"/>
        <v>52</v>
      </c>
      <c r="M176" s="282">
        <v>0.05</v>
      </c>
      <c r="N176" s="22">
        <f t="shared" si="234"/>
        <v>5.5385000000000009</v>
      </c>
      <c r="O176" s="268">
        <f t="shared" si="235"/>
        <v>288.00200000000007</v>
      </c>
      <c r="P176" s="23">
        <f t="shared" si="236"/>
        <v>2.6000000000000005</v>
      </c>
      <c r="Q176" s="268">
        <f t="shared" si="237"/>
        <v>288.00200000000007</v>
      </c>
      <c r="R176" s="118"/>
    </row>
    <row r="177" spans="1:18" x14ac:dyDescent="0.35">
      <c r="A177" s="67" t="str">
        <f>IF(TRIM(G177)&lt;&gt;"",COUNTA(G$11:$G177)&amp;"","")</f>
        <v/>
      </c>
      <c r="B177" s="311"/>
      <c r="C177" s="311"/>
      <c r="D177" s="30"/>
      <c r="E177" s="72"/>
      <c r="F177" s="69"/>
      <c r="G177" s="70"/>
      <c r="H177" s="21" t="str">
        <f t="shared" si="240"/>
        <v/>
      </c>
      <c r="I177" s="47" t="str">
        <f t="shared" si="231"/>
        <v/>
      </c>
      <c r="J177" s="265" t="str">
        <f t="shared" si="241"/>
        <v/>
      </c>
      <c r="K177" s="268" t="str">
        <f t="shared" si="238"/>
        <v/>
      </c>
      <c r="L177" s="258" t="str">
        <f t="shared" si="239"/>
        <v/>
      </c>
      <c r="M177" s="282" t="str">
        <f t="shared" si="242"/>
        <v/>
      </c>
      <c r="N177" s="22" t="str">
        <f t="shared" si="234"/>
        <v/>
      </c>
      <c r="O177" s="268" t="str">
        <f t="shared" si="235"/>
        <v/>
      </c>
      <c r="P177" s="23" t="str">
        <f t="shared" si="236"/>
        <v/>
      </c>
      <c r="Q177" s="268" t="str">
        <f t="shared" si="237"/>
        <v/>
      </c>
      <c r="R177" s="118"/>
    </row>
    <row r="178" spans="1:18" x14ac:dyDescent="0.35">
      <c r="A178" s="67" t="str">
        <f>IF(TRIM(G178)&lt;&gt;"",COUNTA(G$11:$G178)&amp;"","")</f>
        <v/>
      </c>
      <c r="B178" s="311"/>
      <c r="C178" s="311"/>
      <c r="D178" s="30"/>
      <c r="E178" s="18" t="s">
        <v>288</v>
      </c>
      <c r="F178" s="69"/>
      <c r="G178" s="70"/>
      <c r="H178" s="21" t="str">
        <f t="shared" ref="H178:H181" si="252">IF(F178=0,"",0)</f>
        <v/>
      </c>
      <c r="I178" s="47" t="str">
        <f t="shared" ref="I178:I185" si="253">IF(F178=0,"",F178+(F178*H178))</f>
        <v/>
      </c>
      <c r="J178" s="265" t="str">
        <f t="shared" ref="J178:J181" si="254">IF(F178=0,"",0)</f>
        <v/>
      </c>
      <c r="K178" s="268" t="str">
        <f t="shared" ref="K178:K185" si="255">IF(F178=0,"",J178*I178)</f>
        <v/>
      </c>
      <c r="L178" s="258" t="str">
        <f t="shared" ref="L178:L185" si="256">IF(F178=0,"",L$28)</f>
        <v/>
      </c>
      <c r="M178" s="282" t="str">
        <f t="shared" ref="M178:M181" si="257">IF(F178=0,"",0)</f>
        <v/>
      </c>
      <c r="N178" s="22" t="str">
        <f t="shared" ref="N178:N185" si="258">IF(F178=0,"",M178*I178)</f>
        <v/>
      </c>
      <c r="O178" s="268" t="str">
        <f t="shared" ref="O178:O185" si="259">IF(F178=0,"",N178*L178)</f>
        <v/>
      </c>
      <c r="P178" s="23" t="str">
        <f t="shared" ref="P178:P185" si="260">IF(F178=0,"",(K178+O178)/I178)</f>
        <v/>
      </c>
      <c r="Q178" s="268" t="str">
        <f t="shared" ref="Q178:Q185" si="261">IF(F178=0,"",(P178*I178))</f>
        <v/>
      </c>
      <c r="R178" s="118"/>
    </row>
    <row r="179" spans="1:18" x14ac:dyDescent="0.35">
      <c r="A179" s="67" t="str">
        <f>IF(TRIM(G179)&lt;&gt;"",COUNTA(G$11:$G179)&amp;"","")</f>
        <v>130</v>
      </c>
      <c r="B179" s="312"/>
      <c r="C179" s="312"/>
      <c r="D179" s="30"/>
      <c r="E179" s="72" t="s">
        <v>289</v>
      </c>
      <c r="F179" s="69">
        <f>(((5.44*1.14*1.83)/27+(13.4*0.32*1.83)/27))</f>
        <v>0.7109617777777778</v>
      </c>
      <c r="G179" s="70" t="s">
        <v>180</v>
      </c>
      <c r="H179" s="21">
        <v>0.1</v>
      </c>
      <c r="I179" s="47">
        <f t="shared" si="253"/>
        <v>0.78205795555555557</v>
      </c>
      <c r="J179" s="265">
        <v>215</v>
      </c>
      <c r="K179" s="268">
        <f t="shared" si="255"/>
        <v>168.14246044444445</v>
      </c>
      <c r="L179" s="258">
        <f t="shared" si="256"/>
        <v>52</v>
      </c>
      <c r="M179" s="282">
        <v>2.5</v>
      </c>
      <c r="N179" s="22">
        <f t="shared" si="258"/>
        <v>1.9551448888888889</v>
      </c>
      <c r="O179" s="268">
        <f t="shared" si="259"/>
        <v>101.66753422222223</v>
      </c>
      <c r="P179" s="23">
        <f t="shared" si="260"/>
        <v>345</v>
      </c>
      <c r="Q179" s="268">
        <f t="shared" si="261"/>
        <v>269.80999466666668</v>
      </c>
      <c r="R179" s="118"/>
    </row>
    <row r="180" spans="1:18" x14ac:dyDescent="0.35">
      <c r="A180" s="67" t="str">
        <f>IF(TRIM(G180)&lt;&gt;"",COUNTA(G$11:$G180)&amp;"","")</f>
        <v/>
      </c>
      <c r="B180" s="71"/>
      <c r="C180" s="71"/>
      <c r="D180" s="30"/>
      <c r="E180" s="72"/>
      <c r="F180" s="69"/>
      <c r="G180" s="70"/>
      <c r="H180" s="21" t="str">
        <f t="shared" si="252"/>
        <v/>
      </c>
      <c r="I180" s="47" t="str">
        <f t="shared" si="253"/>
        <v/>
      </c>
      <c r="J180" s="265" t="str">
        <f t="shared" si="254"/>
        <v/>
      </c>
      <c r="K180" s="268" t="str">
        <f t="shared" si="255"/>
        <v/>
      </c>
      <c r="L180" s="258" t="str">
        <f t="shared" si="256"/>
        <v/>
      </c>
      <c r="M180" s="282" t="str">
        <f t="shared" si="257"/>
        <v/>
      </c>
      <c r="N180" s="22" t="str">
        <f t="shared" si="258"/>
        <v/>
      </c>
      <c r="O180" s="268" t="str">
        <f t="shared" si="259"/>
        <v/>
      </c>
      <c r="P180" s="23" t="str">
        <f t="shared" si="260"/>
        <v/>
      </c>
      <c r="Q180" s="268" t="str">
        <f t="shared" si="261"/>
        <v/>
      </c>
      <c r="R180" s="118"/>
    </row>
    <row r="181" spans="1:18" x14ac:dyDescent="0.35">
      <c r="A181" s="67" t="str">
        <f>IF(TRIM(G181)&lt;&gt;"",COUNTA(G$11:$G181)&amp;"","")</f>
        <v/>
      </c>
      <c r="B181" s="71"/>
      <c r="C181" s="71"/>
      <c r="D181" s="30"/>
      <c r="E181" s="248" t="s">
        <v>605</v>
      </c>
      <c r="F181" s="69"/>
      <c r="G181" s="70"/>
      <c r="H181" s="21" t="str">
        <f t="shared" si="252"/>
        <v/>
      </c>
      <c r="I181" s="47" t="str">
        <f t="shared" si="253"/>
        <v/>
      </c>
      <c r="J181" s="265" t="str">
        <f t="shared" si="254"/>
        <v/>
      </c>
      <c r="K181" s="268" t="str">
        <f t="shared" si="255"/>
        <v/>
      </c>
      <c r="L181" s="258" t="str">
        <f t="shared" si="256"/>
        <v/>
      </c>
      <c r="M181" s="282" t="str">
        <f t="shared" si="257"/>
        <v/>
      </c>
      <c r="N181" s="22" t="str">
        <f t="shared" si="258"/>
        <v/>
      </c>
      <c r="O181" s="268" t="str">
        <f t="shared" si="259"/>
        <v/>
      </c>
      <c r="P181" s="23" t="str">
        <f t="shared" si="260"/>
        <v/>
      </c>
      <c r="Q181" s="268" t="str">
        <f t="shared" si="261"/>
        <v/>
      </c>
      <c r="R181" s="118"/>
    </row>
    <row r="182" spans="1:18" ht="43.5" x14ac:dyDescent="0.35">
      <c r="A182" s="67" t="str">
        <f>IF(TRIM(G182)&lt;&gt;"",COUNTA(G$11:$G182)&amp;"","")</f>
        <v>131</v>
      </c>
      <c r="B182" s="310" t="s">
        <v>630</v>
      </c>
      <c r="C182" s="310" t="s">
        <v>631</v>
      </c>
      <c r="D182" s="30"/>
      <c r="E182" s="18" t="s">
        <v>290</v>
      </c>
      <c r="F182" s="239">
        <v>11</v>
      </c>
      <c r="G182" s="245" t="s">
        <v>211</v>
      </c>
      <c r="H182" s="21"/>
      <c r="I182" s="47"/>
      <c r="J182" s="265"/>
      <c r="K182" s="268"/>
      <c r="L182" s="258"/>
      <c r="M182" s="282"/>
      <c r="N182" s="22"/>
      <c r="O182" s="268"/>
      <c r="P182" s="23"/>
      <c r="Q182" s="268"/>
      <c r="R182" s="118"/>
    </row>
    <row r="183" spans="1:18" x14ac:dyDescent="0.35">
      <c r="A183" s="67" t="str">
        <f>IF(TRIM(G183)&lt;&gt;"",COUNTA(G$11:$G183)&amp;"","")</f>
        <v>132</v>
      </c>
      <c r="B183" s="311"/>
      <c r="C183" s="311"/>
      <c r="D183" s="30"/>
      <c r="E183" s="72" t="s">
        <v>237</v>
      </c>
      <c r="F183" s="69">
        <f>(4*0.91*F182)/27</f>
        <v>1.482962962962963</v>
      </c>
      <c r="G183" s="70" t="s">
        <v>180</v>
      </c>
      <c r="H183" s="21">
        <v>0.1</v>
      </c>
      <c r="I183" s="47">
        <f t="shared" si="253"/>
        <v>1.6312592592592594</v>
      </c>
      <c r="J183" s="265">
        <v>210</v>
      </c>
      <c r="K183" s="268">
        <f t="shared" si="255"/>
        <v>342.56444444444446</v>
      </c>
      <c r="L183" s="258">
        <f t="shared" si="256"/>
        <v>52</v>
      </c>
      <c r="M183" s="282">
        <v>2.5</v>
      </c>
      <c r="N183" s="22">
        <f t="shared" si="258"/>
        <v>4.0781481481481485</v>
      </c>
      <c r="O183" s="268">
        <f t="shared" si="259"/>
        <v>212.06370370370371</v>
      </c>
      <c r="P183" s="23">
        <f t="shared" si="260"/>
        <v>340</v>
      </c>
      <c r="Q183" s="268">
        <f t="shared" si="261"/>
        <v>554.62814814814817</v>
      </c>
      <c r="R183" s="118"/>
    </row>
    <row r="184" spans="1:18" x14ac:dyDescent="0.35">
      <c r="A184" s="67" t="str">
        <f>IF(TRIM(G184)&lt;&gt;"",COUNTA(G$11:$G184)&amp;"","")</f>
        <v>133</v>
      </c>
      <c r="B184" s="311"/>
      <c r="C184" s="311"/>
      <c r="D184" s="30"/>
      <c r="E184" s="72" t="s">
        <v>291</v>
      </c>
      <c r="F184" s="69">
        <f>(F182*3.5)*0.668</f>
        <v>25.718</v>
      </c>
      <c r="G184" s="70" t="s">
        <v>240</v>
      </c>
      <c r="H184" s="21">
        <v>0.1</v>
      </c>
      <c r="I184" s="47">
        <f t="shared" si="253"/>
        <v>28.2898</v>
      </c>
      <c r="J184" s="265">
        <v>0.93</v>
      </c>
      <c r="K184" s="268">
        <f t="shared" si="255"/>
        <v>26.309514</v>
      </c>
      <c r="L184" s="258">
        <f t="shared" si="256"/>
        <v>52</v>
      </c>
      <c r="M184" s="282">
        <v>0.01</v>
      </c>
      <c r="N184" s="22">
        <f t="shared" si="258"/>
        <v>0.28289799999999998</v>
      </c>
      <c r="O184" s="268">
        <f t="shared" si="259"/>
        <v>14.710695999999999</v>
      </c>
      <c r="P184" s="23">
        <f t="shared" si="260"/>
        <v>1.45</v>
      </c>
      <c r="Q184" s="268">
        <f t="shared" si="261"/>
        <v>41.020209999999999</v>
      </c>
      <c r="R184" s="118"/>
    </row>
    <row r="185" spans="1:18" x14ac:dyDescent="0.35">
      <c r="A185" s="67" t="str">
        <f>IF(TRIM(G185)&lt;&gt;"",COUNTA(G$11:$G185)&amp;"","")</f>
        <v>134</v>
      </c>
      <c r="B185" s="311"/>
      <c r="C185" s="311"/>
      <c r="D185" s="30"/>
      <c r="E185" s="72" t="s">
        <v>243</v>
      </c>
      <c r="F185" s="69">
        <f>(F182*3.5*0.668)</f>
        <v>25.718</v>
      </c>
      <c r="G185" s="70" t="s">
        <v>240</v>
      </c>
      <c r="H185" s="21">
        <v>0.1</v>
      </c>
      <c r="I185" s="47">
        <f t="shared" si="253"/>
        <v>28.2898</v>
      </c>
      <c r="J185" s="265">
        <v>0.93</v>
      </c>
      <c r="K185" s="268">
        <f t="shared" si="255"/>
        <v>26.309514</v>
      </c>
      <c r="L185" s="258">
        <f t="shared" si="256"/>
        <v>52</v>
      </c>
      <c r="M185" s="282">
        <v>0.01</v>
      </c>
      <c r="N185" s="22">
        <f t="shared" si="258"/>
        <v>0.28289799999999998</v>
      </c>
      <c r="O185" s="268">
        <f t="shared" si="259"/>
        <v>14.710695999999999</v>
      </c>
      <c r="P185" s="23">
        <f t="shared" si="260"/>
        <v>1.45</v>
      </c>
      <c r="Q185" s="268">
        <f t="shared" si="261"/>
        <v>41.020209999999999</v>
      </c>
      <c r="R185" s="118"/>
    </row>
    <row r="186" spans="1:18" x14ac:dyDescent="0.35">
      <c r="A186" s="67" t="str">
        <f>IF(TRIM(G186)&lt;&gt;"",COUNTA(G$11:$G186)&amp;"","")</f>
        <v>135</v>
      </c>
      <c r="B186" s="311"/>
      <c r="C186" s="311"/>
      <c r="D186" s="30"/>
      <c r="E186" s="72" t="s">
        <v>292</v>
      </c>
      <c r="F186" s="69">
        <f>(12.38/1)*4*1.11*0.668</f>
        <v>36.718089600000006</v>
      </c>
      <c r="G186" s="70" t="s">
        <v>240</v>
      </c>
      <c r="H186" s="21">
        <v>0.1</v>
      </c>
      <c r="I186" s="47">
        <f t="shared" si="198"/>
        <v>40.389898560000006</v>
      </c>
      <c r="J186" s="265">
        <v>0.93</v>
      </c>
      <c r="K186" s="268">
        <f t="shared" si="200"/>
        <v>37.56260566080001</v>
      </c>
      <c r="L186" s="258">
        <f t="shared" si="201"/>
        <v>52</v>
      </c>
      <c r="M186" s="282">
        <v>0.01</v>
      </c>
      <c r="N186" s="22">
        <f t="shared" si="203"/>
        <v>0.40389898560000009</v>
      </c>
      <c r="O186" s="268">
        <f t="shared" si="204"/>
        <v>21.002747251200006</v>
      </c>
      <c r="P186" s="23">
        <f t="shared" si="205"/>
        <v>1.4500000000000002</v>
      </c>
      <c r="Q186" s="268">
        <f t="shared" si="206"/>
        <v>58.565352912000016</v>
      </c>
      <c r="R186" s="118"/>
    </row>
    <row r="187" spans="1:18" x14ac:dyDescent="0.35">
      <c r="A187" s="67" t="str">
        <f>IF(TRIM(G187)&lt;&gt;"",COUNTA(G$11:$G187)&amp;"","")</f>
        <v/>
      </c>
      <c r="B187" s="311"/>
      <c r="C187" s="311"/>
      <c r="D187" s="30"/>
      <c r="E187" s="72"/>
      <c r="F187" s="69"/>
      <c r="G187" s="70"/>
      <c r="H187" s="21" t="str">
        <f t="shared" ref="H187:H194" si="262">IF(F187=0,"",0)</f>
        <v/>
      </c>
      <c r="I187" s="47" t="str">
        <f t="shared" ref="I187:I199" si="263">IF(F187=0,"",F187+(F187*H187))</f>
        <v/>
      </c>
      <c r="J187" s="265" t="str">
        <f t="shared" ref="J187:J199" si="264">IF(F187=0,"",0)</f>
        <v/>
      </c>
      <c r="K187" s="268" t="str">
        <f t="shared" ref="K187:K199" si="265">IF(F187=0,"",J187*I187)</f>
        <v/>
      </c>
      <c r="L187" s="258" t="str">
        <f t="shared" ref="L187:L199" si="266">IF(F187=0,"",L$28)</f>
        <v/>
      </c>
      <c r="M187" s="282" t="str">
        <f t="shared" ref="M187:M194" si="267">IF(F187=0,"",0)</f>
        <v/>
      </c>
      <c r="N187" s="22" t="str">
        <f t="shared" ref="N187:N199" si="268">IF(F187=0,"",M187*I187)</f>
        <v/>
      </c>
      <c r="O187" s="268" t="str">
        <f t="shared" ref="O187:O199" si="269">IF(F187=0,"",N187*L187)</f>
        <v/>
      </c>
      <c r="P187" s="23" t="str">
        <f t="shared" ref="P187:P199" si="270">IF(F187=0,"",(K187+O187)/I187)</f>
        <v/>
      </c>
      <c r="Q187" s="268" t="str">
        <f t="shared" ref="Q187:Q199" si="271">IF(F187=0,"",(P187*I187))</f>
        <v/>
      </c>
      <c r="R187" s="118"/>
    </row>
    <row r="188" spans="1:18" ht="43.5" x14ac:dyDescent="0.35">
      <c r="A188" s="67" t="str">
        <f>IF(TRIM(G188)&lt;&gt;"",COUNTA(G$11:$G188)&amp;"","")</f>
        <v>136</v>
      </c>
      <c r="B188" s="311"/>
      <c r="C188" s="311"/>
      <c r="D188" s="30"/>
      <c r="E188" s="18" t="s">
        <v>293</v>
      </c>
      <c r="F188" s="239">
        <v>4</v>
      </c>
      <c r="G188" s="245" t="s">
        <v>211</v>
      </c>
      <c r="H188" s="21"/>
      <c r="I188" s="47"/>
      <c r="J188" s="265"/>
      <c r="K188" s="268"/>
      <c r="L188" s="258"/>
      <c r="M188" s="282"/>
      <c r="N188" s="22"/>
      <c r="O188" s="268"/>
      <c r="P188" s="23"/>
      <c r="Q188" s="268"/>
      <c r="R188" s="118"/>
    </row>
    <row r="189" spans="1:18" x14ac:dyDescent="0.35">
      <c r="A189" s="67" t="str">
        <f>IF(TRIM(G189)&lt;&gt;"",COUNTA(G$11:$G189)&amp;"","")</f>
        <v>137</v>
      </c>
      <c r="B189" s="311"/>
      <c r="C189" s="311"/>
      <c r="D189" s="30"/>
      <c r="E189" s="72" t="s">
        <v>237</v>
      </c>
      <c r="F189" s="69">
        <f>(5*0.91*F188)/27</f>
        <v>0.67407407407407405</v>
      </c>
      <c r="G189" s="70" t="s">
        <v>180</v>
      </c>
      <c r="H189" s="21">
        <v>0.1</v>
      </c>
      <c r="I189" s="47">
        <f t="shared" ref="I189:I192" si="272">IF(F189=0,"",F189+(F189*H189))</f>
        <v>0.74148148148148141</v>
      </c>
      <c r="J189" s="265">
        <v>210</v>
      </c>
      <c r="K189" s="268">
        <f t="shared" ref="K189:K192" si="273">IF(F189=0,"",J189*I189)</f>
        <v>155.71111111111111</v>
      </c>
      <c r="L189" s="258">
        <f t="shared" ref="L189:L192" si="274">IF(F189=0,"",L$28)</f>
        <v>52</v>
      </c>
      <c r="M189" s="282">
        <v>2.5</v>
      </c>
      <c r="N189" s="22">
        <f t="shared" ref="N189:N192" si="275">IF(F189=0,"",M189*I189)</f>
        <v>1.8537037037037036</v>
      </c>
      <c r="O189" s="268">
        <f t="shared" ref="O189:O192" si="276">IF(F189=0,"",N189*L189)</f>
        <v>96.392592592592592</v>
      </c>
      <c r="P189" s="23">
        <f t="shared" ref="P189:P192" si="277">IF(F189=0,"",(K189+O189)/I189)</f>
        <v>340.00000000000006</v>
      </c>
      <c r="Q189" s="268">
        <f t="shared" ref="Q189:Q192" si="278">IF(F189=0,"",(P189*I189))</f>
        <v>252.10370370370373</v>
      </c>
      <c r="R189" s="118"/>
    </row>
    <row r="190" spans="1:18" x14ac:dyDescent="0.35">
      <c r="A190" s="67" t="str">
        <f>IF(TRIM(G190)&lt;&gt;"",COUNTA(G$11:$G190)&amp;"","")</f>
        <v>138</v>
      </c>
      <c r="B190" s="311"/>
      <c r="C190" s="311"/>
      <c r="D190" s="30"/>
      <c r="E190" s="72" t="s">
        <v>291</v>
      </c>
      <c r="F190" s="69">
        <f>(F188*4.5)*0.668</f>
        <v>12.024000000000001</v>
      </c>
      <c r="G190" s="70" t="s">
        <v>240</v>
      </c>
      <c r="H190" s="21">
        <v>0.1</v>
      </c>
      <c r="I190" s="47">
        <f t="shared" si="272"/>
        <v>13.226400000000002</v>
      </c>
      <c r="J190" s="265">
        <v>0.93</v>
      </c>
      <c r="K190" s="268">
        <f t="shared" si="273"/>
        <v>12.300552000000001</v>
      </c>
      <c r="L190" s="258">
        <f t="shared" si="274"/>
        <v>52</v>
      </c>
      <c r="M190" s="282">
        <v>0.01</v>
      </c>
      <c r="N190" s="22">
        <f t="shared" si="275"/>
        <v>0.13226400000000002</v>
      </c>
      <c r="O190" s="268">
        <f t="shared" si="276"/>
        <v>6.8777280000000012</v>
      </c>
      <c r="P190" s="23">
        <f t="shared" si="277"/>
        <v>1.45</v>
      </c>
      <c r="Q190" s="268">
        <f t="shared" si="278"/>
        <v>19.178280000000001</v>
      </c>
      <c r="R190" s="118"/>
    </row>
    <row r="191" spans="1:18" x14ac:dyDescent="0.35">
      <c r="A191" s="67" t="str">
        <f>IF(TRIM(G191)&lt;&gt;"",COUNTA(G$11:$G191)&amp;"","")</f>
        <v>139</v>
      </c>
      <c r="B191" s="311"/>
      <c r="C191" s="311"/>
      <c r="D191" s="30"/>
      <c r="E191" s="72" t="s">
        <v>243</v>
      </c>
      <c r="F191" s="69">
        <f>(F188*4.5*0.668)</f>
        <v>12.024000000000001</v>
      </c>
      <c r="G191" s="70" t="s">
        <v>240</v>
      </c>
      <c r="H191" s="21">
        <v>0.1</v>
      </c>
      <c r="I191" s="47">
        <f t="shared" si="272"/>
        <v>13.226400000000002</v>
      </c>
      <c r="J191" s="265">
        <v>0.93</v>
      </c>
      <c r="K191" s="268">
        <f t="shared" si="273"/>
        <v>12.300552000000001</v>
      </c>
      <c r="L191" s="258">
        <f t="shared" si="274"/>
        <v>52</v>
      </c>
      <c r="M191" s="282">
        <v>0.01</v>
      </c>
      <c r="N191" s="22">
        <f t="shared" si="275"/>
        <v>0.13226400000000002</v>
      </c>
      <c r="O191" s="268">
        <f t="shared" si="276"/>
        <v>6.8777280000000012</v>
      </c>
      <c r="P191" s="23">
        <f t="shared" si="277"/>
        <v>1.45</v>
      </c>
      <c r="Q191" s="268">
        <f t="shared" si="278"/>
        <v>19.178280000000001</v>
      </c>
      <c r="R191" s="118"/>
    </row>
    <row r="192" spans="1:18" x14ac:dyDescent="0.35">
      <c r="A192" s="67" t="str">
        <f>IF(TRIM(G192)&lt;&gt;"",COUNTA(G$11:$G192)&amp;"","")</f>
        <v>140</v>
      </c>
      <c r="B192" s="311"/>
      <c r="C192" s="311"/>
      <c r="D192" s="30"/>
      <c r="E192" s="72" t="s">
        <v>292</v>
      </c>
      <c r="F192" s="69">
        <f>(4/1)*4*1.11*0.668</f>
        <v>11.863680000000002</v>
      </c>
      <c r="G192" s="70" t="s">
        <v>240</v>
      </c>
      <c r="H192" s="21">
        <v>0.1</v>
      </c>
      <c r="I192" s="47">
        <f t="shared" si="272"/>
        <v>13.050048000000002</v>
      </c>
      <c r="J192" s="265">
        <v>0.93</v>
      </c>
      <c r="K192" s="268">
        <f t="shared" si="273"/>
        <v>12.136544640000002</v>
      </c>
      <c r="L192" s="258">
        <f t="shared" si="274"/>
        <v>52</v>
      </c>
      <c r="M192" s="282">
        <v>0.01</v>
      </c>
      <c r="N192" s="22">
        <f t="shared" si="275"/>
        <v>0.13050048000000003</v>
      </c>
      <c r="O192" s="268">
        <f t="shared" si="276"/>
        <v>6.7860249600000015</v>
      </c>
      <c r="P192" s="23">
        <f t="shared" si="277"/>
        <v>1.45</v>
      </c>
      <c r="Q192" s="268">
        <f t="shared" si="278"/>
        <v>18.922569600000003</v>
      </c>
      <c r="R192" s="118"/>
    </row>
    <row r="193" spans="1:18" x14ac:dyDescent="0.35">
      <c r="A193" s="67" t="str">
        <f>IF(TRIM(G193)&lt;&gt;"",COUNTA(G$11:$G193)&amp;"","")</f>
        <v/>
      </c>
      <c r="B193" s="311"/>
      <c r="C193" s="311"/>
      <c r="D193" s="30"/>
      <c r="E193" s="72"/>
      <c r="F193" s="69"/>
      <c r="G193" s="70"/>
      <c r="H193" s="21" t="str">
        <f t="shared" si="262"/>
        <v/>
      </c>
      <c r="I193" s="47" t="str">
        <f t="shared" si="263"/>
        <v/>
      </c>
      <c r="J193" s="265" t="str">
        <f t="shared" si="264"/>
        <v/>
      </c>
      <c r="K193" s="268" t="str">
        <f t="shared" si="265"/>
        <v/>
      </c>
      <c r="L193" s="258" t="str">
        <f t="shared" si="266"/>
        <v/>
      </c>
      <c r="M193" s="282" t="str">
        <f t="shared" si="267"/>
        <v/>
      </c>
      <c r="N193" s="22" t="str">
        <f t="shared" si="268"/>
        <v/>
      </c>
      <c r="O193" s="268" t="str">
        <f t="shared" si="269"/>
        <v/>
      </c>
      <c r="P193" s="23" t="str">
        <f t="shared" si="270"/>
        <v/>
      </c>
      <c r="Q193" s="268" t="str">
        <f t="shared" si="271"/>
        <v/>
      </c>
      <c r="R193" s="118"/>
    </row>
    <row r="194" spans="1:18" x14ac:dyDescent="0.35">
      <c r="A194" s="67" t="str">
        <f>IF(TRIM(G194)&lt;&gt;"",COUNTA(G$11:$G194)&amp;"","")</f>
        <v/>
      </c>
      <c r="B194" s="311"/>
      <c r="C194" s="311"/>
      <c r="D194" s="30"/>
      <c r="E194" s="247" t="s">
        <v>606</v>
      </c>
      <c r="F194" s="69"/>
      <c r="G194" s="70"/>
      <c r="H194" s="21" t="str">
        <f t="shared" si="262"/>
        <v/>
      </c>
      <c r="I194" s="47" t="str">
        <f t="shared" si="263"/>
        <v/>
      </c>
      <c r="J194" s="265" t="str">
        <f t="shared" si="264"/>
        <v/>
      </c>
      <c r="K194" s="268" t="str">
        <f t="shared" si="265"/>
        <v/>
      </c>
      <c r="L194" s="258" t="str">
        <f t="shared" si="266"/>
        <v/>
      </c>
      <c r="M194" s="282" t="str">
        <f t="shared" si="267"/>
        <v/>
      </c>
      <c r="N194" s="22" t="str">
        <f t="shared" si="268"/>
        <v/>
      </c>
      <c r="O194" s="268" t="str">
        <f t="shared" si="269"/>
        <v/>
      </c>
      <c r="P194" s="23" t="str">
        <f t="shared" si="270"/>
        <v/>
      </c>
      <c r="Q194" s="268" t="str">
        <f t="shared" si="271"/>
        <v/>
      </c>
      <c r="R194" s="118"/>
    </row>
    <row r="195" spans="1:18" x14ac:dyDescent="0.35">
      <c r="A195" s="67" t="str">
        <f>IF(TRIM(G195)&lt;&gt;"",COUNTA(G$11:$G195)&amp;"","")</f>
        <v>141</v>
      </c>
      <c r="B195" s="311"/>
      <c r="C195" s="311"/>
      <c r="D195" s="30"/>
      <c r="E195" s="18" t="s">
        <v>294</v>
      </c>
      <c r="F195" s="239">
        <v>177.1</v>
      </c>
      <c r="G195" s="245" t="s">
        <v>163</v>
      </c>
      <c r="H195" s="21"/>
      <c r="I195" s="47"/>
      <c r="J195" s="265"/>
      <c r="K195" s="268"/>
      <c r="L195" s="258"/>
      <c r="M195" s="282"/>
      <c r="N195" s="22"/>
      <c r="O195" s="268"/>
      <c r="P195" s="23"/>
      <c r="Q195" s="268"/>
      <c r="R195" s="118"/>
    </row>
    <row r="196" spans="1:18" x14ac:dyDescent="0.35">
      <c r="A196" s="67" t="str">
        <f>IF(TRIM(G196)&lt;&gt;"",COUNTA(G$11:$G196)&amp;"","")</f>
        <v>142</v>
      </c>
      <c r="B196" s="311"/>
      <c r="C196" s="311"/>
      <c r="D196" s="30"/>
      <c r="E196" s="72" t="s">
        <v>237</v>
      </c>
      <c r="F196" s="69">
        <f>((F195*0.33)/27)+0.67</f>
        <v>2.8345555555555553</v>
      </c>
      <c r="G196" s="70" t="s">
        <v>180</v>
      </c>
      <c r="H196" s="21">
        <v>0.1</v>
      </c>
      <c r="I196" s="47">
        <f t="shared" ref="I196" si="279">IF(F196=0,"",F196+(F196*H196))</f>
        <v>3.1180111111111106</v>
      </c>
      <c r="J196" s="265">
        <v>210</v>
      </c>
      <c r="K196" s="268">
        <f t="shared" ref="K196" si="280">IF(F196=0,"",J196*I196)</f>
        <v>654.78233333333321</v>
      </c>
      <c r="L196" s="258">
        <f t="shared" ref="L196" si="281">IF(F196=0,"",L$28)</f>
        <v>52</v>
      </c>
      <c r="M196" s="282">
        <v>2.5</v>
      </c>
      <c r="N196" s="22">
        <f t="shared" ref="N196" si="282">IF(F196=0,"",M196*I196)</f>
        <v>7.7950277777777766</v>
      </c>
      <c r="O196" s="268">
        <f t="shared" ref="O196" si="283">IF(F196=0,"",N196*L196)</f>
        <v>405.34144444444439</v>
      </c>
      <c r="P196" s="23">
        <f t="shared" ref="P196" si="284">IF(F196=0,"",(K196+O196)/I196)</f>
        <v>340</v>
      </c>
      <c r="Q196" s="268">
        <f t="shared" ref="Q196" si="285">IF(F196=0,"",(P196*I196))</f>
        <v>1060.1237777777776</v>
      </c>
      <c r="R196" s="118"/>
    </row>
    <row r="197" spans="1:18" x14ac:dyDescent="0.35">
      <c r="A197" s="67" t="str">
        <f>IF(TRIM(G197)&lt;&gt;"",COUNTA(G$11:$G197)&amp;"","")</f>
        <v>143</v>
      </c>
      <c r="B197" s="311"/>
      <c r="C197" s="311"/>
      <c r="D197" s="30"/>
      <c r="E197" s="52" t="s">
        <v>242</v>
      </c>
      <c r="F197" s="69">
        <f>84*0.33</f>
        <v>27.720000000000002</v>
      </c>
      <c r="G197" s="70" t="s">
        <v>163</v>
      </c>
      <c r="H197" s="21">
        <v>0.1</v>
      </c>
      <c r="I197" s="47">
        <f t="shared" si="263"/>
        <v>30.492000000000004</v>
      </c>
      <c r="J197" s="265">
        <f t="shared" si="264"/>
        <v>0</v>
      </c>
      <c r="K197" s="268">
        <f t="shared" si="265"/>
        <v>0</v>
      </c>
      <c r="L197" s="258">
        <f t="shared" si="266"/>
        <v>52</v>
      </c>
      <c r="M197" s="282">
        <v>0.05</v>
      </c>
      <c r="N197" s="22">
        <f t="shared" si="268"/>
        <v>1.5246000000000004</v>
      </c>
      <c r="O197" s="268">
        <f t="shared" si="269"/>
        <v>79.279200000000017</v>
      </c>
      <c r="P197" s="23">
        <f t="shared" si="270"/>
        <v>2.6</v>
      </c>
      <c r="Q197" s="268">
        <f t="shared" si="271"/>
        <v>79.279200000000017</v>
      </c>
      <c r="R197" s="118"/>
    </row>
    <row r="198" spans="1:18" x14ac:dyDescent="0.35">
      <c r="A198" s="67" t="str">
        <f>IF(TRIM(G198)&lt;&gt;"",COUNTA(G$11:$G198)&amp;"","")</f>
        <v>144</v>
      </c>
      <c r="B198" s="311"/>
      <c r="C198" s="311"/>
      <c r="D198" s="30"/>
      <c r="E198" s="52" t="s">
        <v>262</v>
      </c>
      <c r="F198" s="69">
        <f>F195</f>
        <v>177.1</v>
      </c>
      <c r="G198" s="70" t="s">
        <v>163</v>
      </c>
      <c r="H198" s="21">
        <v>0.1</v>
      </c>
      <c r="I198" s="47">
        <f t="shared" si="263"/>
        <v>194.81</v>
      </c>
      <c r="J198" s="265">
        <v>0.36</v>
      </c>
      <c r="K198" s="268">
        <f t="shared" si="265"/>
        <v>70.131599999999992</v>
      </c>
      <c r="L198" s="258">
        <f t="shared" si="266"/>
        <v>52</v>
      </c>
      <c r="M198" s="282">
        <v>4.0000000000000001E-3</v>
      </c>
      <c r="N198" s="22">
        <f t="shared" si="268"/>
        <v>0.77924000000000004</v>
      </c>
      <c r="O198" s="268">
        <f t="shared" si="269"/>
        <v>40.520479999999999</v>
      </c>
      <c r="P198" s="23">
        <f t="shared" si="270"/>
        <v>0.56799999999999995</v>
      </c>
      <c r="Q198" s="268">
        <f t="shared" si="271"/>
        <v>110.65208</v>
      </c>
      <c r="R198" s="118"/>
    </row>
    <row r="199" spans="1:18" x14ac:dyDescent="0.35">
      <c r="A199" s="67" t="str">
        <f>IF(TRIM(G199)&lt;&gt;"",COUNTA(G$11:$G199)&amp;"","")</f>
        <v>145</v>
      </c>
      <c r="B199" s="312"/>
      <c r="C199" s="312"/>
      <c r="D199" s="30"/>
      <c r="E199" s="52" t="s">
        <v>263</v>
      </c>
      <c r="F199" s="69">
        <f>F195</f>
        <v>177.1</v>
      </c>
      <c r="G199" s="70" t="s">
        <v>163</v>
      </c>
      <c r="H199" s="21">
        <v>0.1</v>
      </c>
      <c r="I199" s="47">
        <f t="shared" si="263"/>
        <v>194.81</v>
      </c>
      <c r="J199" s="265">
        <f t="shared" si="264"/>
        <v>0</v>
      </c>
      <c r="K199" s="268">
        <f t="shared" si="265"/>
        <v>0</v>
      </c>
      <c r="L199" s="258">
        <f t="shared" si="266"/>
        <v>52</v>
      </c>
      <c r="M199" s="282">
        <v>6.0000000000000001E-3</v>
      </c>
      <c r="N199" s="22">
        <f t="shared" si="268"/>
        <v>1.16886</v>
      </c>
      <c r="O199" s="268">
        <f t="shared" si="269"/>
        <v>60.780720000000002</v>
      </c>
      <c r="P199" s="23">
        <f t="shared" si="270"/>
        <v>0.312</v>
      </c>
      <c r="Q199" s="268">
        <f t="shared" si="271"/>
        <v>60.780720000000002</v>
      </c>
      <c r="R199" s="118"/>
    </row>
    <row r="200" spans="1:18" ht="15" thickBot="1" x14ac:dyDescent="0.4">
      <c r="A200" s="67" t="str">
        <f>IF(TRIM(G200)&lt;&gt;"",COUNTA(G$11:$G200)&amp;"","")</f>
        <v/>
      </c>
      <c r="B200" s="71"/>
      <c r="C200" s="71"/>
      <c r="D200" s="30"/>
      <c r="E200" s="72"/>
      <c r="F200" s="69"/>
      <c r="G200" s="70"/>
      <c r="H200" s="21" t="str">
        <f t="shared" si="42"/>
        <v/>
      </c>
      <c r="I200" s="47" t="str">
        <f t="shared" si="43"/>
        <v/>
      </c>
      <c r="J200" s="265" t="str">
        <f t="shared" si="44"/>
        <v/>
      </c>
      <c r="K200" s="268" t="str">
        <f t="shared" si="45"/>
        <v/>
      </c>
      <c r="L200" s="258" t="str">
        <f>IF(F200=0,"",L$28)</f>
        <v/>
      </c>
      <c r="M200" s="282" t="str">
        <f t="shared" si="46"/>
        <v/>
      </c>
      <c r="N200" s="22" t="str">
        <f t="shared" si="47"/>
        <v/>
      </c>
      <c r="O200" s="268" t="str">
        <f t="shared" si="48"/>
        <v/>
      </c>
      <c r="P200" s="23" t="str">
        <f t="shared" si="49"/>
        <v/>
      </c>
      <c r="Q200" s="268" t="str">
        <f t="shared" si="50"/>
        <v/>
      </c>
      <c r="R200" s="118"/>
    </row>
    <row r="201" spans="1:18" s="2" customFormat="1" ht="16" thickBot="1" x14ac:dyDescent="0.4">
      <c r="A201" s="82" t="str">
        <f>IF(TRIM(G201)&lt;&gt;"",COUNTA(G$11:$G201)&amp;"","")</f>
        <v/>
      </c>
      <c r="B201" s="1"/>
      <c r="C201" s="1"/>
      <c r="D201" s="19"/>
      <c r="E201" s="18"/>
      <c r="F201" s="167"/>
      <c r="G201" s="178"/>
      <c r="H201" s="83" t="s">
        <v>12</v>
      </c>
      <c r="I201" s="84"/>
      <c r="J201" s="85">
        <f>SUM(K$29:K$200)</f>
        <v>36611.713210154616</v>
      </c>
      <c r="K201" s="327" t="s">
        <v>13</v>
      </c>
      <c r="L201" s="328"/>
      <c r="M201" s="284">
        <f>SUM(O$29:O$200)</f>
        <v>28916.425979754145</v>
      </c>
      <c r="N201" s="327" t="s">
        <v>42</v>
      </c>
      <c r="O201" s="328"/>
      <c r="P201" s="87">
        <f>SUM(N$29:N$200)</f>
        <v>556.08511499527174</v>
      </c>
      <c r="Q201" s="274" t="s">
        <v>205</v>
      </c>
      <c r="R201" s="86">
        <f>SUM(Q$29:Q$200)</f>
        <v>65528.139189908761</v>
      </c>
    </row>
    <row r="202" spans="1:18" ht="25" customHeight="1" thickBot="1" x14ac:dyDescent="0.4">
      <c r="A202" s="169" t="str">
        <f>IF(TRIM(G202)&lt;&gt;"",COUNTA(G$11:$G202)&amp;"","")</f>
        <v/>
      </c>
      <c r="B202" s="170"/>
      <c r="C202" s="171" t="s">
        <v>144</v>
      </c>
      <c r="D202" s="180" t="s">
        <v>139</v>
      </c>
      <c r="E202" s="180" t="s">
        <v>135</v>
      </c>
      <c r="F202" s="181"/>
      <c r="G202" s="172"/>
      <c r="H202" s="170"/>
      <c r="I202" s="172"/>
      <c r="J202" s="263"/>
      <c r="K202" s="263"/>
      <c r="L202" s="257">
        <v>50</v>
      </c>
      <c r="M202" s="280"/>
      <c r="N202" s="170"/>
      <c r="O202" s="263"/>
      <c r="P202" s="170"/>
      <c r="Q202" s="263"/>
      <c r="R202" s="173"/>
    </row>
    <row r="203" spans="1:18" s="17" customFormat="1" ht="19.25" customHeight="1" x14ac:dyDescent="0.35">
      <c r="A203" s="67" t="str">
        <f>IF(TRIM(G203)&lt;&gt;"",COUNTA(G$11:$G203)&amp;"","")</f>
        <v/>
      </c>
      <c r="B203" s="29"/>
      <c r="C203" s="29"/>
      <c r="D203" s="193" t="s">
        <v>200</v>
      </c>
      <c r="E203" s="191" t="s">
        <v>72</v>
      </c>
      <c r="F203" s="69"/>
      <c r="G203" s="70"/>
      <c r="H203" s="21" t="str">
        <f t="shared" ref="H203:H210" si="286">IF(F203=0,"",0)</f>
        <v/>
      </c>
      <c r="I203" s="47" t="str">
        <f t="shared" ref="I203:I210" si="287">IF(F203=0,"",F203+(F203*H203))</f>
        <v/>
      </c>
      <c r="J203" s="265" t="str">
        <f t="shared" ref="J203:J210" si="288">IF(F203=0,"",0)</f>
        <v/>
      </c>
      <c r="K203" s="268" t="str">
        <f t="shared" ref="K203:K210" si="289">IF(F203=0,"",J203*I203)</f>
        <v/>
      </c>
      <c r="L203" s="258" t="str">
        <f t="shared" ref="L203:L210" si="290">IF(F203=0,"",L$202)</f>
        <v/>
      </c>
      <c r="M203" s="282" t="str">
        <f t="shared" ref="M203:M210" si="291">IF(F203=0,"",0)</f>
        <v/>
      </c>
      <c r="N203" s="22" t="str">
        <f t="shared" ref="N203:N210" si="292">IF(F203=0,"",M203*I203)</f>
        <v/>
      </c>
      <c r="O203" s="268" t="str">
        <f t="shared" ref="O203:O210" si="293">IF(F203=0,"",N203*L203)</f>
        <v/>
      </c>
      <c r="P203" s="23" t="str">
        <f t="shared" ref="P203:P210" si="294">IF(F203=0,"",(K203+O203)/I203)</f>
        <v/>
      </c>
      <c r="Q203" s="268" t="str">
        <f t="shared" ref="Q203:Q210" si="295">IF(F203=0,"",(P203*I203))</f>
        <v/>
      </c>
      <c r="R203" s="120"/>
    </row>
    <row r="204" spans="1:18" x14ac:dyDescent="0.35">
      <c r="A204" s="67" t="str">
        <f>IF(TRIM(G204)&lt;&gt;"",COUNTA(G$11:$G204)&amp;"","")</f>
        <v>146</v>
      </c>
      <c r="B204" s="310" t="s">
        <v>632</v>
      </c>
      <c r="C204" s="310" t="s">
        <v>632</v>
      </c>
      <c r="D204" s="30"/>
      <c r="E204" s="52" t="s">
        <v>228</v>
      </c>
      <c r="F204" s="69">
        <v>1381.3505</v>
      </c>
      <c r="G204" s="70" t="s">
        <v>163</v>
      </c>
      <c r="H204" s="21">
        <v>0.1</v>
      </c>
      <c r="I204" s="47">
        <f t="shared" si="287"/>
        <v>1519.4855500000001</v>
      </c>
      <c r="J204" s="265">
        <v>8.5</v>
      </c>
      <c r="K204" s="268">
        <f t="shared" si="289"/>
        <v>12915.627175000001</v>
      </c>
      <c r="L204" s="258">
        <f t="shared" si="290"/>
        <v>50</v>
      </c>
      <c r="M204" s="282">
        <v>0.109</v>
      </c>
      <c r="N204" s="22">
        <f t="shared" si="292"/>
        <v>165.62392495</v>
      </c>
      <c r="O204" s="268">
        <f t="shared" si="293"/>
        <v>8281.1962475</v>
      </c>
      <c r="P204" s="23">
        <f t="shared" si="294"/>
        <v>13.95</v>
      </c>
      <c r="Q204" s="268">
        <f t="shared" si="295"/>
        <v>21196.823422500001</v>
      </c>
      <c r="R204" s="118"/>
    </row>
    <row r="205" spans="1:18" x14ac:dyDescent="0.35">
      <c r="A205" s="67" t="str">
        <f>IF(TRIM(G205)&lt;&gt;"",COUNTA(G$11:$G205)&amp;"","")</f>
        <v/>
      </c>
      <c r="B205" s="311"/>
      <c r="C205" s="311"/>
      <c r="D205" s="30"/>
      <c r="E205" s="72"/>
      <c r="F205" s="69"/>
      <c r="G205" s="70"/>
      <c r="H205" s="21" t="str">
        <f t="shared" si="286"/>
        <v/>
      </c>
      <c r="I205" s="47" t="str">
        <f t="shared" si="287"/>
        <v/>
      </c>
      <c r="J205" s="265" t="str">
        <f t="shared" si="288"/>
        <v/>
      </c>
      <c r="K205" s="268" t="str">
        <f t="shared" si="289"/>
        <v/>
      </c>
      <c r="L205" s="258" t="str">
        <f t="shared" si="290"/>
        <v/>
      </c>
      <c r="M205" s="282" t="str">
        <f t="shared" si="291"/>
        <v/>
      </c>
      <c r="N205" s="22" t="str">
        <f t="shared" si="292"/>
        <v/>
      </c>
      <c r="O205" s="268" t="str">
        <f t="shared" si="293"/>
        <v/>
      </c>
      <c r="P205" s="23" t="str">
        <f t="shared" si="294"/>
        <v/>
      </c>
      <c r="Q205" s="268" t="str">
        <f t="shared" si="295"/>
        <v/>
      </c>
      <c r="R205" s="118"/>
    </row>
    <row r="206" spans="1:18" x14ac:dyDescent="0.35">
      <c r="A206" s="67" t="str">
        <f>IF(TRIM(G206)&lt;&gt;"",COUNTA(G$11:$G206)&amp;"","")</f>
        <v/>
      </c>
      <c r="B206" s="311"/>
      <c r="C206" s="311"/>
      <c r="D206" s="30"/>
      <c r="E206" s="18" t="s">
        <v>417</v>
      </c>
      <c r="F206" s="69"/>
      <c r="G206" s="70"/>
      <c r="H206" s="21"/>
      <c r="I206" s="47"/>
      <c r="J206" s="265"/>
      <c r="K206" s="268"/>
      <c r="L206" s="258"/>
      <c r="M206" s="282"/>
      <c r="N206" s="22"/>
      <c r="O206" s="268"/>
      <c r="P206" s="23"/>
      <c r="Q206" s="268"/>
      <c r="R206" s="118"/>
    </row>
    <row r="207" spans="1:18" x14ac:dyDescent="0.35">
      <c r="A207" s="67" t="str">
        <f>IF(TRIM(G207)&lt;&gt;"",COUNTA(G$11:$G207)&amp;"","")</f>
        <v>147</v>
      </c>
      <c r="B207" s="311"/>
      <c r="C207" s="311"/>
      <c r="D207" s="30"/>
      <c r="E207" s="72" t="s">
        <v>418</v>
      </c>
      <c r="F207" s="69">
        <f>2*15.61</f>
        <v>31.22</v>
      </c>
      <c r="G207" s="70" t="s">
        <v>177</v>
      </c>
      <c r="H207" s="21">
        <v>0.1</v>
      </c>
      <c r="I207" s="47">
        <f t="shared" ref="I207:I208" si="296">IF(F207=0,"",F207+(F207*H207))</f>
        <v>34.341999999999999</v>
      </c>
      <c r="J207" s="265">
        <v>29.25</v>
      </c>
      <c r="K207" s="268">
        <f t="shared" ref="K207:K208" si="297">IF(F207=0,"",J207*I207)</f>
        <v>1004.5034999999999</v>
      </c>
      <c r="L207" s="258">
        <f t="shared" ref="L207:L208" si="298">IF(F207=0,"",L$202)</f>
        <v>50</v>
      </c>
      <c r="M207" s="282">
        <v>0.38024999999999998</v>
      </c>
      <c r="N207" s="22">
        <f t="shared" ref="N207:N208" si="299">IF(F207=0,"",M207*I207)</f>
        <v>13.058545499999999</v>
      </c>
      <c r="O207" s="268">
        <f t="shared" ref="O207:O208" si="300">IF(F207=0,"",N207*L207)</f>
        <v>652.92727500000001</v>
      </c>
      <c r="P207" s="23">
        <f t="shared" ref="P207:P208" si="301">IF(F207=0,"",(K207+O207)/I207)</f>
        <v>48.262499999999996</v>
      </c>
      <c r="Q207" s="268">
        <f t="shared" ref="Q207:Q208" si="302">IF(F207=0,"",(P207*I207))</f>
        <v>1657.4307749999998</v>
      </c>
      <c r="R207" s="118"/>
    </row>
    <row r="208" spans="1:18" x14ac:dyDescent="0.35">
      <c r="A208" s="67" t="str">
        <f>IF(TRIM(G208)&lt;&gt;"",COUNTA(G$11:$G208)&amp;"","")</f>
        <v>148</v>
      </c>
      <c r="B208" s="311"/>
      <c r="C208" s="311"/>
      <c r="D208" s="30"/>
      <c r="E208" s="72" t="s">
        <v>419</v>
      </c>
      <c r="F208" s="69">
        <f>2*5</f>
        <v>10</v>
      </c>
      <c r="G208" s="70" t="s">
        <v>177</v>
      </c>
      <c r="H208" s="21">
        <v>0.1</v>
      </c>
      <c r="I208" s="47">
        <f t="shared" si="296"/>
        <v>11</v>
      </c>
      <c r="J208" s="265">
        <v>17.100000000000001</v>
      </c>
      <c r="K208" s="268">
        <f t="shared" si="297"/>
        <v>188.10000000000002</v>
      </c>
      <c r="L208" s="258">
        <f t="shared" si="298"/>
        <v>50</v>
      </c>
      <c r="M208" s="282">
        <v>0.2223</v>
      </c>
      <c r="N208" s="22">
        <f t="shared" si="299"/>
        <v>2.4453</v>
      </c>
      <c r="O208" s="268">
        <f t="shared" si="300"/>
        <v>122.265</v>
      </c>
      <c r="P208" s="23">
        <f t="shared" si="301"/>
        <v>28.215</v>
      </c>
      <c r="Q208" s="268">
        <f t="shared" si="302"/>
        <v>310.36500000000001</v>
      </c>
      <c r="R208" s="118"/>
    </row>
    <row r="209" spans="1:18" x14ac:dyDescent="0.35">
      <c r="A209" s="67" t="str">
        <f>IF(TRIM(G209)&lt;&gt;"",COUNTA(G$11:$G209)&amp;"","")</f>
        <v>149</v>
      </c>
      <c r="B209" s="312"/>
      <c r="C209" s="312"/>
      <c r="D209" s="30"/>
      <c r="E209" s="72" t="s">
        <v>420</v>
      </c>
      <c r="F209" s="69">
        <v>76.260000000000005</v>
      </c>
      <c r="G209" s="70" t="s">
        <v>177</v>
      </c>
      <c r="H209" s="21">
        <v>0.1</v>
      </c>
      <c r="I209" s="47">
        <f t="shared" ref="I209" si="303">IF(F209=0,"",F209+(F209*H209))</f>
        <v>83.88600000000001</v>
      </c>
      <c r="J209" s="265">
        <v>45</v>
      </c>
      <c r="K209" s="268">
        <f t="shared" ref="K209" si="304">IF(F209=0,"",J209*I209)</f>
        <v>3774.8700000000003</v>
      </c>
      <c r="L209" s="258">
        <f t="shared" ref="L209" si="305">IF(F209=0,"",L$202)</f>
        <v>50</v>
      </c>
      <c r="M209" s="282">
        <v>0.58499999999999996</v>
      </c>
      <c r="N209" s="22">
        <f t="shared" ref="N209" si="306">IF(F209=0,"",M209*I209)</f>
        <v>49.073309999999999</v>
      </c>
      <c r="O209" s="268">
        <f t="shared" ref="O209" si="307">IF(F209=0,"",N209*L209)</f>
        <v>2453.6655000000001</v>
      </c>
      <c r="P209" s="23">
        <f t="shared" ref="P209" si="308">IF(F209=0,"",(K209+O209)/I209)</f>
        <v>74.249999999999986</v>
      </c>
      <c r="Q209" s="268">
        <f t="shared" ref="Q209" si="309">IF(F209=0,"",(P209*I209))</f>
        <v>6228.5355</v>
      </c>
      <c r="R209" s="118"/>
    </row>
    <row r="210" spans="1:18" ht="15" thickBot="1" x14ac:dyDescent="0.4">
      <c r="A210" s="67" t="str">
        <f>IF(TRIM(G210)&lt;&gt;"",COUNTA(G$11:$G210)&amp;"","")</f>
        <v/>
      </c>
      <c r="B210" s="71"/>
      <c r="C210" s="71"/>
      <c r="D210" s="30"/>
      <c r="E210" s="72"/>
      <c r="F210" s="69"/>
      <c r="G210" s="70"/>
      <c r="H210" s="21" t="str">
        <f t="shared" si="286"/>
        <v/>
      </c>
      <c r="I210" s="47" t="str">
        <f t="shared" si="287"/>
        <v/>
      </c>
      <c r="J210" s="265" t="str">
        <f t="shared" si="288"/>
        <v/>
      </c>
      <c r="K210" s="268" t="str">
        <f t="shared" si="289"/>
        <v/>
      </c>
      <c r="L210" s="258" t="str">
        <f t="shared" si="290"/>
        <v/>
      </c>
      <c r="M210" s="282" t="str">
        <f t="shared" si="291"/>
        <v/>
      </c>
      <c r="N210" s="22" t="str">
        <f t="shared" si="292"/>
        <v/>
      </c>
      <c r="O210" s="268" t="str">
        <f t="shared" si="293"/>
        <v/>
      </c>
      <c r="P210" s="23" t="str">
        <f t="shared" si="294"/>
        <v/>
      </c>
      <c r="Q210" s="268" t="str">
        <f t="shared" si="295"/>
        <v/>
      </c>
      <c r="R210" s="118"/>
    </row>
    <row r="211" spans="1:18" s="2" customFormat="1" ht="16" thickBot="1" x14ac:dyDescent="0.4">
      <c r="A211" s="82" t="str">
        <f>IF(TRIM(G211)&lt;&gt;"",COUNTA(G$11:$G211)&amp;"","")</f>
        <v/>
      </c>
      <c r="B211" s="1"/>
      <c r="C211" s="1"/>
      <c r="D211" s="19"/>
      <c r="E211" s="18"/>
      <c r="F211" s="167"/>
      <c r="G211" s="178"/>
      <c r="H211" s="83" t="s">
        <v>12</v>
      </c>
      <c r="I211" s="84"/>
      <c r="J211" s="85">
        <f>SUM(K$203:K$210)</f>
        <v>17883.100675000002</v>
      </c>
      <c r="K211" s="327" t="s">
        <v>13</v>
      </c>
      <c r="L211" s="328"/>
      <c r="M211" s="284">
        <f>SUM(O$203:O$210)</f>
        <v>11510.0540225</v>
      </c>
      <c r="N211" s="327" t="s">
        <v>42</v>
      </c>
      <c r="O211" s="328"/>
      <c r="P211" s="87">
        <f>SUM(N$203:N$210)</f>
        <v>230.20108045000001</v>
      </c>
      <c r="Q211" s="274" t="s">
        <v>205</v>
      </c>
      <c r="R211" s="86">
        <f>SUM(Q$203:Q$210)</f>
        <v>29393.154697500002</v>
      </c>
    </row>
    <row r="212" spans="1:18" ht="25" customHeight="1" thickBot="1" x14ac:dyDescent="0.4">
      <c r="A212" s="169" t="str">
        <f>IF(TRIM(G212)&lt;&gt;"",COUNTA(G$11:$G212)&amp;"","")</f>
        <v/>
      </c>
      <c r="B212" s="170"/>
      <c r="C212" s="171" t="s">
        <v>144</v>
      </c>
      <c r="D212" s="180" t="s">
        <v>138</v>
      </c>
      <c r="E212" s="180" t="s">
        <v>136</v>
      </c>
      <c r="F212" s="181"/>
      <c r="G212" s="172"/>
      <c r="H212" s="170"/>
      <c r="I212" s="172"/>
      <c r="J212" s="263"/>
      <c r="K212" s="263"/>
      <c r="L212" s="257">
        <v>51</v>
      </c>
      <c r="M212" s="280"/>
      <c r="N212" s="170"/>
      <c r="O212" s="263"/>
      <c r="P212" s="170"/>
      <c r="Q212" s="263"/>
      <c r="R212" s="173"/>
    </row>
    <row r="213" spans="1:18" s="17" customFormat="1" ht="19.25" customHeight="1" x14ac:dyDescent="0.35">
      <c r="A213" s="107" t="str">
        <f>IF(TRIM(G213)&lt;&gt;"",COUNTA(G$11:$G213)&amp;"","")</f>
        <v/>
      </c>
      <c r="B213" s="168"/>
      <c r="C213" s="168"/>
      <c r="D213" s="188" t="s">
        <v>74</v>
      </c>
      <c r="E213" s="189" t="s">
        <v>73</v>
      </c>
      <c r="F213" s="111"/>
      <c r="G213" s="112"/>
      <c r="H213" s="113" t="str">
        <f t="shared" ref="H213:H222" si="310">IF(F213=0,"",0)</f>
        <v/>
      </c>
      <c r="I213" s="114" t="str">
        <f t="shared" ref="I213:I224" si="311">IF(F213=0,"",F213+(F213*H213))</f>
        <v/>
      </c>
      <c r="J213" s="264" t="str">
        <f t="shared" ref="J213:J222" si="312">IF(F213=0,"",0)</f>
        <v/>
      </c>
      <c r="K213" s="258" t="str">
        <f t="shared" ref="K213:K224" si="313">IF(F213=0,"",J213*I213)</f>
        <v/>
      </c>
      <c r="L213" s="258" t="str">
        <f t="shared" ref="L213:L224" si="314">IF(F213=0,"",L$212)</f>
        <v/>
      </c>
      <c r="M213" s="281" t="str">
        <f t="shared" ref="M213:M222" si="315">IF(F213=0,"",0)</f>
        <v/>
      </c>
      <c r="N213" s="115" t="str">
        <f t="shared" ref="N213:N224" si="316">IF(F213=0,"",M213*I213)</f>
        <v/>
      </c>
      <c r="O213" s="258" t="str">
        <f t="shared" ref="O213:O224" si="317">IF(F213=0,"",N213*L213)</f>
        <v/>
      </c>
      <c r="P213" s="116" t="str">
        <f t="shared" ref="P213" si="318">IF(F213=0,"",(K213+O213)/I213)</f>
        <v/>
      </c>
      <c r="Q213" s="258" t="str">
        <f t="shared" ref="Q213" si="319">IF(F213=0,"",(P213*I213))</f>
        <v/>
      </c>
      <c r="R213" s="179"/>
    </row>
    <row r="214" spans="1:18" x14ac:dyDescent="0.35">
      <c r="A214" s="67" t="str">
        <f>IF(TRIM(G214)&lt;&gt;"",COUNTA(G$11:$G214)&amp;"","")</f>
        <v/>
      </c>
      <c r="B214" s="68"/>
      <c r="C214" s="68"/>
      <c r="D214" s="30"/>
      <c r="E214" s="243" t="s">
        <v>298</v>
      </c>
      <c r="F214" s="69"/>
      <c r="G214" s="70"/>
      <c r="H214" s="21" t="str">
        <f t="shared" si="310"/>
        <v/>
      </c>
      <c r="I214" s="47" t="str">
        <f t="shared" si="311"/>
        <v/>
      </c>
      <c r="J214" s="265" t="str">
        <f t="shared" si="312"/>
        <v/>
      </c>
      <c r="K214" s="268" t="str">
        <f t="shared" si="313"/>
        <v/>
      </c>
      <c r="L214" s="258" t="str">
        <f t="shared" si="314"/>
        <v/>
      </c>
      <c r="M214" s="282" t="str">
        <f t="shared" si="315"/>
        <v/>
      </c>
      <c r="N214" s="22" t="str">
        <f t="shared" si="316"/>
        <v/>
      </c>
      <c r="O214" s="268" t="str">
        <f t="shared" si="317"/>
        <v/>
      </c>
      <c r="P214" s="23" t="str">
        <f t="shared" ref="P214:P224" si="320">IF(F214=0,"",(K214+O214)/I214)</f>
        <v/>
      </c>
      <c r="Q214" s="268" t="str">
        <f t="shared" ref="Q214:Q224" si="321">IF(F214=0,"",(P214*I214))</f>
        <v/>
      </c>
      <c r="R214" s="118"/>
    </row>
    <row r="215" spans="1:18" x14ac:dyDescent="0.35">
      <c r="A215" s="67" t="str">
        <f>IF(TRIM(G215)&lt;&gt;"",COUNTA(G$11:$G215)&amp;"","")</f>
        <v>150</v>
      </c>
      <c r="B215" s="310" t="s">
        <v>632</v>
      </c>
      <c r="C215" s="310" t="s">
        <v>632</v>
      </c>
      <c r="D215" s="30"/>
      <c r="E215" s="65" t="s">
        <v>299</v>
      </c>
      <c r="F215" s="69">
        <f>((0.33*0.33)*10.2*9.55)</f>
        <v>10.607949000000001</v>
      </c>
      <c r="G215" s="70" t="s">
        <v>240</v>
      </c>
      <c r="H215" s="21">
        <v>0.1</v>
      </c>
      <c r="I215" s="47">
        <f t="shared" si="311"/>
        <v>11.668743900000001</v>
      </c>
      <c r="J215" s="265">
        <v>1.6</v>
      </c>
      <c r="K215" s="268">
        <f t="shared" si="313"/>
        <v>18.669990240000001</v>
      </c>
      <c r="L215" s="258">
        <f t="shared" si="314"/>
        <v>51</v>
      </c>
      <c r="M215" s="282">
        <v>3.2000000000000001E-2</v>
      </c>
      <c r="N215" s="22">
        <f t="shared" si="316"/>
        <v>0.37339980480000001</v>
      </c>
      <c r="O215" s="268">
        <f t="shared" si="317"/>
        <v>19.043390044799999</v>
      </c>
      <c r="P215" s="23">
        <f t="shared" si="320"/>
        <v>3.2319999999999993</v>
      </c>
      <c r="Q215" s="268">
        <f t="shared" si="321"/>
        <v>37.713380284799996</v>
      </c>
      <c r="R215" s="118"/>
    </row>
    <row r="216" spans="1:18" x14ac:dyDescent="0.35">
      <c r="A216" s="67" t="str">
        <f>IF(TRIM(G216)&lt;&gt;"",COUNTA(G$11:$G216)&amp;"","")</f>
        <v/>
      </c>
      <c r="B216" s="311"/>
      <c r="C216" s="311"/>
      <c r="D216" s="30"/>
      <c r="E216" s="65"/>
      <c r="F216" s="69"/>
      <c r="G216" s="70"/>
      <c r="H216" s="21" t="str">
        <f t="shared" si="310"/>
        <v/>
      </c>
      <c r="I216" s="47" t="str">
        <f t="shared" si="311"/>
        <v/>
      </c>
      <c r="J216" s="265" t="str">
        <f t="shared" si="312"/>
        <v/>
      </c>
      <c r="K216" s="268" t="str">
        <f t="shared" si="313"/>
        <v/>
      </c>
      <c r="L216" s="258" t="str">
        <f t="shared" si="314"/>
        <v/>
      </c>
      <c r="M216" s="282" t="str">
        <f t="shared" si="315"/>
        <v/>
      </c>
      <c r="N216" s="22" t="str">
        <f t="shared" si="316"/>
        <v/>
      </c>
      <c r="O216" s="268" t="str">
        <f t="shared" si="317"/>
        <v/>
      </c>
      <c r="P216" s="23" t="str">
        <f t="shared" si="320"/>
        <v/>
      </c>
      <c r="Q216" s="268" t="str">
        <f t="shared" si="321"/>
        <v/>
      </c>
      <c r="R216" s="118"/>
    </row>
    <row r="217" spans="1:18" x14ac:dyDescent="0.35">
      <c r="A217" s="67" t="str">
        <f>IF(TRIM(G217)&lt;&gt;"",COUNTA(G$11:$G217)&amp;"","")</f>
        <v/>
      </c>
      <c r="B217" s="311"/>
      <c r="C217" s="311"/>
      <c r="D217" s="30"/>
      <c r="E217" s="243" t="s">
        <v>300</v>
      </c>
      <c r="F217" s="69"/>
      <c r="G217" s="70"/>
      <c r="H217" s="21" t="str">
        <f t="shared" si="310"/>
        <v/>
      </c>
      <c r="I217" s="47" t="str">
        <f t="shared" si="311"/>
        <v/>
      </c>
      <c r="J217" s="265" t="str">
        <f t="shared" si="312"/>
        <v/>
      </c>
      <c r="K217" s="268" t="str">
        <f t="shared" si="313"/>
        <v/>
      </c>
      <c r="L217" s="258" t="str">
        <f t="shared" si="314"/>
        <v/>
      </c>
      <c r="M217" s="282" t="str">
        <f t="shared" si="315"/>
        <v/>
      </c>
      <c r="N217" s="22" t="str">
        <f t="shared" si="316"/>
        <v/>
      </c>
      <c r="O217" s="268" t="str">
        <f t="shared" si="317"/>
        <v/>
      </c>
      <c r="P217" s="23" t="str">
        <f t="shared" si="320"/>
        <v/>
      </c>
      <c r="Q217" s="268" t="str">
        <f t="shared" si="321"/>
        <v/>
      </c>
      <c r="R217" s="118"/>
    </row>
    <row r="218" spans="1:18" x14ac:dyDescent="0.35">
      <c r="A218" s="67" t="str">
        <f>IF(TRIM(G218)&lt;&gt;"",COUNTA(G$11:$G218)&amp;"","")</f>
        <v>151</v>
      </c>
      <c r="B218" s="311"/>
      <c r="C218" s="311"/>
      <c r="D218" s="30"/>
      <c r="E218" s="65" t="s">
        <v>301</v>
      </c>
      <c r="F218" s="69">
        <v>19.059999999999999</v>
      </c>
      <c r="G218" s="70" t="s">
        <v>177</v>
      </c>
      <c r="H218" s="21">
        <v>0.1</v>
      </c>
      <c r="I218" s="47">
        <f t="shared" ref="I218:I221" si="322">IF(F218=0,"",F218+(F218*H218))</f>
        <v>20.965999999999998</v>
      </c>
      <c r="J218" s="265">
        <v>1.0900000000000001</v>
      </c>
      <c r="K218" s="268">
        <f t="shared" ref="K218:K221" si="323">IF(F218=0,"",J218*I218)</f>
        <v>22.85294</v>
      </c>
      <c r="L218" s="258">
        <f t="shared" ref="L218:L221" si="324">IF(F218=0,"",L$212)</f>
        <v>51</v>
      </c>
      <c r="M218" s="282">
        <v>4.2000000000000003E-2</v>
      </c>
      <c r="N218" s="22">
        <f t="shared" ref="N218:N221" si="325">IF(F218=0,"",M218*I218)</f>
        <v>0.88057199999999991</v>
      </c>
      <c r="O218" s="268">
        <f t="shared" ref="O218:O221" si="326">IF(F218=0,"",N218*L218)</f>
        <v>44.909171999999998</v>
      </c>
      <c r="P218" s="23">
        <f t="shared" ref="P218:P221" si="327">IF(F218=0,"",(K218+O218)/I218)</f>
        <v>3.2320000000000007</v>
      </c>
      <c r="Q218" s="268">
        <f t="shared" ref="Q218:Q221" si="328">IF(F218=0,"",(P218*I218))</f>
        <v>67.762112000000002</v>
      </c>
      <c r="R218" s="118"/>
    </row>
    <row r="219" spans="1:18" x14ac:dyDescent="0.35">
      <c r="A219" s="67" t="str">
        <f>IF(TRIM(G219)&lt;&gt;"",COUNTA(G$11:$G219)&amp;"","")</f>
        <v/>
      </c>
      <c r="B219" s="311"/>
      <c r="C219" s="311"/>
      <c r="D219" s="30"/>
      <c r="E219" s="65"/>
      <c r="F219" s="69"/>
      <c r="G219" s="70"/>
      <c r="H219" s="21" t="str">
        <f t="shared" ref="H219:H220" si="329">IF(F219=0,"",0)</f>
        <v/>
      </c>
      <c r="I219" s="47" t="str">
        <f t="shared" si="322"/>
        <v/>
      </c>
      <c r="J219" s="265" t="str">
        <f t="shared" ref="J219:J220" si="330">IF(F219=0,"",0)</f>
        <v/>
      </c>
      <c r="K219" s="268" t="str">
        <f t="shared" si="323"/>
        <v/>
      </c>
      <c r="L219" s="258" t="str">
        <f t="shared" si="324"/>
        <v/>
      </c>
      <c r="M219" s="282" t="str">
        <f t="shared" ref="M219:M220" si="331">IF(F219=0,"",0)</f>
        <v/>
      </c>
      <c r="N219" s="22" t="str">
        <f t="shared" si="325"/>
        <v/>
      </c>
      <c r="O219" s="268" t="str">
        <f t="shared" si="326"/>
        <v/>
      </c>
      <c r="P219" s="23" t="str">
        <f t="shared" si="327"/>
        <v/>
      </c>
      <c r="Q219" s="268" t="str">
        <f t="shared" si="328"/>
        <v/>
      </c>
      <c r="R219" s="118"/>
    </row>
    <row r="220" spans="1:18" x14ac:dyDescent="0.35">
      <c r="A220" s="67" t="str">
        <f>IF(TRIM(G220)&lt;&gt;"",COUNTA(G$11:$G220)&amp;"","")</f>
        <v/>
      </c>
      <c r="B220" s="311"/>
      <c r="C220" s="311"/>
      <c r="D220" s="30"/>
      <c r="E220" s="243" t="s">
        <v>302</v>
      </c>
      <c r="F220" s="69"/>
      <c r="G220" s="70"/>
      <c r="H220" s="21" t="str">
        <f t="shared" si="329"/>
        <v/>
      </c>
      <c r="I220" s="47" t="str">
        <f t="shared" si="322"/>
        <v/>
      </c>
      <c r="J220" s="265" t="str">
        <f t="shared" si="330"/>
        <v/>
      </c>
      <c r="K220" s="268" t="str">
        <f t="shared" si="323"/>
        <v/>
      </c>
      <c r="L220" s="258" t="str">
        <f t="shared" si="324"/>
        <v/>
      </c>
      <c r="M220" s="282" t="str">
        <f t="shared" si="331"/>
        <v/>
      </c>
      <c r="N220" s="22" t="str">
        <f t="shared" si="325"/>
        <v/>
      </c>
      <c r="O220" s="268" t="str">
        <f t="shared" si="326"/>
        <v/>
      </c>
      <c r="P220" s="23" t="str">
        <f t="shared" si="327"/>
        <v/>
      </c>
      <c r="Q220" s="268" t="str">
        <f t="shared" si="328"/>
        <v/>
      </c>
      <c r="R220" s="118"/>
    </row>
    <row r="221" spans="1:18" x14ac:dyDescent="0.35">
      <c r="A221" s="67" t="str">
        <f>IF(TRIM(G221)&lt;&gt;"",COUNTA(G$11:$G221)&amp;"","")</f>
        <v>152</v>
      </c>
      <c r="B221" s="311"/>
      <c r="C221" s="311"/>
      <c r="D221" s="30"/>
      <c r="E221" s="65" t="s">
        <v>303</v>
      </c>
      <c r="F221" s="69">
        <v>19.18</v>
      </c>
      <c r="G221" s="70" t="s">
        <v>177</v>
      </c>
      <c r="H221" s="21">
        <v>0.1</v>
      </c>
      <c r="I221" s="47">
        <f t="shared" si="322"/>
        <v>21.097999999999999</v>
      </c>
      <c r="J221" s="265">
        <v>4.5</v>
      </c>
      <c r="K221" s="268">
        <f t="shared" si="323"/>
        <v>94.941000000000003</v>
      </c>
      <c r="L221" s="258">
        <f t="shared" si="324"/>
        <v>51</v>
      </c>
      <c r="M221" s="282">
        <v>0.1</v>
      </c>
      <c r="N221" s="22">
        <f t="shared" si="325"/>
        <v>2.1097999999999999</v>
      </c>
      <c r="O221" s="268">
        <f t="shared" si="326"/>
        <v>107.59979999999999</v>
      </c>
      <c r="P221" s="23">
        <f t="shared" si="327"/>
        <v>9.6</v>
      </c>
      <c r="Q221" s="268">
        <f t="shared" si="328"/>
        <v>202.54079999999999</v>
      </c>
      <c r="R221" s="118"/>
    </row>
    <row r="222" spans="1:18" s="17" customFormat="1" ht="19.25" customHeight="1" x14ac:dyDescent="0.35">
      <c r="A222" s="67" t="str">
        <f>IF(TRIM(G222)&lt;&gt;"",COUNTA(G$11:$G222)&amp;"","")</f>
        <v/>
      </c>
      <c r="B222" s="311"/>
      <c r="C222" s="311"/>
      <c r="D222" s="193" t="s">
        <v>76</v>
      </c>
      <c r="E222" s="191" t="s">
        <v>75</v>
      </c>
      <c r="F222" s="69"/>
      <c r="G222" s="70"/>
      <c r="H222" s="21" t="str">
        <f t="shared" si="310"/>
        <v/>
      </c>
      <c r="I222" s="47" t="str">
        <f t="shared" si="311"/>
        <v/>
      </c>
      <c r="J222" s="265" t="str">
        <f t="shared" si="312"/>
        <v/>
      </c>
      <c r="K222" s="268" t="str">
        <f t="shared" si="313"/>
        <v/>
      </c>
      <c r="L222" s="258" t="str">
        <f t="shared" si="314"/>
        <v/>
      </c>
      <c r="M222" s="282" t="str">
        <f t="shared" si="315"/>
        <v/>
      </c>
      <c r="N222" s="22" t="str">
        <f t="shared" si="316"/>
        <v/>
      </c>
      <c r="O222" s="268" t="str">
        <f t="shared" si="317"/>
        <v/>
      </c>
      <c r="P222" s="23" t="str">
        <f t="shared" si="320"/>
        <v/>
      </c>
      <c r="Q222" s="268" t="str">
        <f t="shared" si="321"/>
        <v/>
      </c>
      <c r="R222" s="120"/>
    </row>
    <row r="223" spans="1:18" x14ac:dyDescent="0.35">
      <c r="A223" s="67" t="str">
        <f>IF(TRIM(G223)&lt;&gt;"",COUNTA(G$11:$G223)&amp;"","")</f>
        <v>153</v>
      </c>
      <c r="B223" s="311"/>
      <c r="C223" s="311"/>
      <c r="D223" s="30"/>
      <c r="E223" s="52" t="s">
        <v>577</v>
      </c>
      <c r="F223" s="69">
        <v>18.82</v>
      </c>
      <c r="G223" s="70" t="s">
        <v>177</v>
      </c>
      <c r="H223" s="21">
        <v>0.1</v>
      </c>
      <c r="I223" s="47">
        <f t="shared" si="311"/>
        <v>20.702000000000002</v>
      </c>
      <c r="J223" s="265">
        <v>28</v>
      </c>
      <c r="K223" s="268">
        <f t="shared" si="313"/>
        <v>579.65600000000006</v>
      </c>
      <c r="L223" s="258">
        <f t="shared" si="314"/>
        <v>51</v>
      </c>
      <c r="M223" s="282">
        <v>0.25</v>
      </c>
      <c r="N223" s="22">
        <f t="shared" si="316"/>
        <v>5.1755000000000004</v>
      </c>
      <c r="O223" s="268">
        <f t="shared" si="317"/>
        <v>263.95050000000003</v>
      </c>
      <c r="P223" s="23">
        <f t="shared" si="320"/>
        <v>40.75</v>
      </c>
      <c r="Q223" s="268">
        <f t="shared" si="321"/>
        <v>843.6065000000001</v>
      </c>
      <c r="R223" s="118"/>
    </row>
    <row r="224" spans="1:18" x14ac:dyDescent="0.35">
      <c r="A224" s="67" t="str">
        <f>IF(TRIM(G224)&lt;&gt;"",COUNTA(G$11:$G224)&amp;"","")</f>
        <v>154</v>
      </c>
      <c r="B224" s="311"/>
      <c r="C224" s="311"/>
      <c r="D224" s="30"/>
      <c r="E224" s="52" t="s">
        <v>578</v>
      </c>
      <c r="F224" s="69">
        <v>14.52</v>
      </c>
      <c r="G224" s="70" t="s">
        <v>177</v>
      </c>
      <c r="H224" s="21">
        <v>0.1</v>
      </c>
      <c r="I224" s="47">
        <f t="shared" si="311"/>
        <v>15.972</v>
      </c>
      <c r="J224" s="265">
        <v>28</v>
      </c>
      <c r="K224" s="268">
        <f t="shared" si="313"/>
        <v>447.21600000000001</v>
      </c>
      <c r="L224" s="258">
        <f t="shared" si="314"/>
        <v>51</v>
      </c>
      <c r="M224" s="282">
        <v>0.25</v>
      </c>
      <c r="N224" s="22">
        <f t="shared" si="316"/>
        <v>3.9929999999999999</v>
      </c>
      <c r="O224" s="268">
        <f t="shared" si="317"/>
        <v>203.643</v>
      </c>
      <c r="P224" s="23">
        <f t="shared" si="320"/>
        <v>40.75</v>
      </c>
      <c r="Q224" s="268">
        <f t="shared" si="321"/>
        <v>650.85900000000004</v>
      </c>
      <c r="R224" s="118"/>
    </row>
    <row r="225" spans="1:18" x14ac:dyDescent="0.35">
      <c r="A225" s="67" t="str">
        <f>IF(TRIM(G225)&lt;&gt;"",COUNTA(G$11:$G225)&amp;"","")</f>
        <v>155</v>
      </c>
      <c r="B225" s="311"/>
      <c r="C225" s="311"/>
      <c r="D225" s="30"/>
      <c r="E225" s="52" t="s">
        <v>578</v>
      </c>
      <c r="F225" s="69">
        <f>13.22*1.15</f>
        <v>15.202999999999999</v>
      </c>
      <c r="G225" s="70" t="s">
        <v>177</v>
      </c>
      <c r="H225" s="21">
        <v>0.1</v>
      </c>
      <c r="I225" s="47">
        <f t="shared" ref="I225" si="332">IF(F225=0,"",F225+(F225*H225))</f>
        <v>16.723299999999998</v>
      </c>
      <c r="J225" s="265">
        <v>28</v>
      </c>
      <c r="K225" s="268">
        <f t="shared" ref="K225" si="333">IF(F225=0,"",J225*I225)</f>
        <v>468.25239999999997</v>
      </c>
      <c r="L225" s="258">
        <f t="shared" ref="L225" si="334">IF(F225=0,"",L$212)</f>
        <v>51</v>
      </c>
      <c r="M225" s="282">
        <v>0.25</v>
      </c>
      <c r="N225" s="22">
        <f t="shared" ref="N225" si="335">IF(F225=0,"",M225*I225)</f>
        <v>4.1808249999999996</v>
      </c>
      <c r="O225" s="268">
        <f t="shared" ref="O225" si="336">IF(F225=0,"",N225*L225)</f>
        <v>213.22207499999999</v>
      </c>
      <c r="P225" s="23">
        <f t="shared" ref="P225" si="337">IF(F225=0,"",(K225+O225)/I225)</f>
        <v>40.75</v>
      </c>
      <c r="Q225" s="268">
        <f t="shared" ref="Q225" si="338">IF(F225=0,"",(P225*I225))</f>
        <v>681.47447499999998</v>
      </c>
      <c r="R225" s="118"/>
    </row>
    <row r="226" spans="1:18" x14ac:dyDescent="0.35">
      <c r="A226" s="67" t="str">
        <f>IF(TRIM(G226)&lt;&gt;"",COUNTA(G$11:$G226)&amp;"","")</f>
        <v/>
      </c>
      <c r="B226" s="311"/>
      <c r="C226" s="311"/>
      <c r="D226" s="249"/>
      <c r="E226" s="242"/>
      <c r="F226" s="69"/>
      <c r="G226" s="70"/>
      <c r="H226" s="21"/>
      <c r="I226" s="47"/>
      <c r="J226" s="265"/>
      <c r="K226" s="268"/>
      <c r="L226" s="258"/>
      <c r="M226" s="282"/>
      <c r="N226" s="22"/>
      <c r="O226" s="268"/>
      <c r="P226" s="23"/>
      <c r="Q226" s="268"/>
      <c r="R226" s="118"/>
    </row>
    <row r="227" spans="1:18" x14ac:dyDescent="0.35">
      <c r="A227" s="67" t="str">
        <f>IF(TRIM(G227)&lt;&gt;"",COUNTA(G$11:$G227)&amp;"","")</f>
        <v/>
      </c>
      <c r="B227" s="311"/>
      <c r="C227" s="311"/>
      <c r="D227" s="249"/>
      <c r="E227" s="191" t="s">
        <v>304</v>
      </c>
      <c r="F227" s="69"/>
      <c r="G227" s="70"/>
      <c r="H227" s="21"/>
      <c r="I227" s="47"/>
      <c r="J227" s="265"/>
      <c r="K227" s="268"/>
      <c r="L227" s="258"/>
      <c r="M227" s="282"/>
      <c r="N227" s="22"/>
      <c r="O227" s="268"/>
      <c r="P227" s="23"/>
      <c r="Q227" s="268"/>
      <c r="R227" s="118"/>
    </row>
    <row r="228" spans="1:18" ht="29" x14ac:dyDescent="0.35">
      <c r="A228" s="67" t="str">
        <f>IF(TRIM(G228)&lt;&gt;"",COUNTA(G$11:$G228)&amp;"","")</f>
        <v>156</v>
      </c>
      <c r="B228" s="312"/>
      <c r="C228" s="312"/>
      <c r="D228" s="249"/>
      <c r="E228" s="251" t="s">
        <v>574</v>
      </c>
      <c r="F228" s="69">
        <v>69.349999999999994</v>
      </c>
      <c r="G228" s="70" t="s">
        <v>163</v>
      </c>
      <c r="H228" s="21">
        <v>0.1</v>
      </c>
      <c r="I228" s="47">
        <f t="shared" ref="I228" si="339">IF(F228=0,"",F228+(F228*H228))</f>
        <v>76.284999999999997</v>
      </c>
      <c r="J228" s="265">
        <v>48</v>
      </c>
      <c r="K228" s="268">
        <f t="shared" ref="K228" si="340">IF(F228=0,"",J228*I228)</f>
        <v>3661.68</v>
      </c>
      <c r="L228" s="258">
        <f t="shared" ref="L228" si="341">IF(F228=0,"",L$212)</f>
        <v>51</v>
      </c>
      <c r="M228" s="282">
        <v>0.35</v>
      </c>
      <c r="N228" s="22">
        <f t="shared" ref="N228" si="342">IF(F228=0,"",M228*I228)</f>
        <v>26.699749999999998</v>
      </c>
      <c r="O228" s="268">
        <f t="shared" ref="O228" si="343">IF(F228=0,"",N228*L228)</f>
        <v>1361.6872499999999</v>
      </c>
      <c r="P228" s="23">
        <f t="shared" ref="P228" si="344">IF(F228=0,"",(K228+O228)/I228)</f>
        <v>65.849999999999994</v>
      </c>
      <c r="Q228" s="268">
        <f t="shared" ref="Q228" si="345">IF(F228=0,"",(P228*I228))</f>
        <v>5023.3672499999993</v>
      </c>
      <c r="R228" s="118"/>
    </row>
    <row r="229" spans="1:18" ht="15" thickBot="1" x14ac:dyDescent="0.4">
      <c r="A229" s="67" t="str">
        <f>IF(TRIM(G229)&lt;&gt;"",COUNTA(G$11:$G229)&amp;"","")</f>
        <v/>
      </c>
      <c r="B229" s="71"/>
      <c r="C229" s="71"/>
      <c r="D229" s="249"/>
      <c r="E229" s="242"/>
      <c r="F229" s="69"/>
      <c r="G229" s="70"/>
      <c r="H229" s="21"/>
      <c r="I229" s="47"/>
      <c r="J229" s="265"/>
      <c r="K229" s="268"/>
      <c r="L229" s="258"/>
      <c r="M229" s="282"/>
      <c r="N229" s="22"/>
      <c r="O229" s="268"/>
      <c r="P229" s="23"/>
      <c r="Q229" s="268"/>
      <c r="R229" s="118"/>
    </row>
    <row r="230" spans="1:18" s="2" customFormat="1" ht="16" thickBot="1" x14ac:dyDescent="0.4">
      <c r="A230" s="82" t="str">
        <f>IF(TRIM(G230)&lt;&gt;"",COUNTA(G$11:$G230)&amp;"","")</f>
        <v/>
      </c>
      <c r="B230" s="1"/>
      <c r="C230" s="1"/>
      <c r="D230" s="19"/>
      <c r="E230" s="18"/>
      <c r="F230" s="167"/>
      <c r="G230" s="178"/>
      <c r="H230" s="83" t="s">
        <v>12</v>
      </c>
      <c r="I230" s="84"/>
      <c r="J230" s="85">
        <f>SUM(K$213:K$229)</f>
        <v>5293.2683302400001</v>
      </c>
      <c r="K230" s="327" t="s">
        <v>13</v>
      </c>
      <c r="L230" s="328"/>
      <c r="M230" s="285">
        <f>SUM(O$213:O$229)</f>
        <v>2214.0551870447998</v>
      </c>
      <c r="N230" s="327" t="s">
        <v>42</v>
      </c>
      <c r="O230" s="328"/>
      <c r="P230" s="87">
        <f>SUM(N$213:N$229)</f>
        <v>43.412846804799997</v>
      </c>
      <c r="Q230" s="274" t="s">
        <v>205</v>
      </c>
      <c r="R230" s="86">
        <f>SUM(Q$213:Q$229)</f>
        <v>7507.3235172847999</v>
      </c>
    </row>
    <row r="231" spans="1:18" ht="25" customHeight="1" thickBot="1" x14ac:dyDescent="0.4">
      <c r="A231" s="169" t="str">
        <f>IF(TRIM(G231)&lt;&gt;"",COUNTA(G$11:$G231)&amp;"","")</f>
        <v/>
      </c>
      <c r="B231" s="170"/>
      <c r="C231" s="171" t="s">
        <v>144</v>
      </c>
      <c r="D231" s="190" t="s">
        <v>137</v>
      </c>
      <c r="E231" s="180" t="s">
        <v>58</v>
      </c>
      <c r="F231" s="181"/>
      <c r="G231" s="172"/>
      <c r="H231" s="170" t="str">
        <f t="shared" ref="H231:H399" si="346">IF(F231=0,"",0)</f>
        <v/>
      </c>
      <c r="I231" s="172" t="str">
        <f t="shared" ref="I231:I401" si="347">IF(F231=0,"",F231+(F231*H231))</f>
        <v/>
      </c>
      <c r="J231" s="263" t="str">
        <f t="shared" ref="J231:J232" si="348">IF(F231=0,"",0)</f>
        <v/>
      </c>
      <c r="K231" s="263" t="str">
        <f t="shared" ref="K231:K400" si="349">IF(F231=0,"",J231*I231)</f>
        <v/>
      </c>
      <c r="L231" s="257">
        <v>52</v>
      </c>
      <c r="M231" s="280" t="str">
        <f t="shared" ref="M231:M232" si="350">IF(F231=0,"",0)</f>
        <v/>
      </c>
      <c r="N231" s="170" t="str">
        <f t="shared" ref="N231:N401" si="351">IF(F231=0,"",M231*I231)</f>
        <v/>
      </c>
      <c r="O231" s="263" t="str">
        <f t="shared" ref="O231:O401" si="352">IF(F231=0,"",N231*L231)</f>
        <v/>
      </c>
      <c r="P231" s="170" t="str">
        <f t="shared" ref="P231" si="353">IF(F231=0,"",K231+O231)</f>
        <v/>
      </c>
      <c r="Q231" s="263"/>
      <c r="R231" s="173"/>
    </row>
    <row r="232" spans="1:18" s="17" customFormat="1" ht="19.25" customHeight="1" x14ac:dyDescent="0.35">
      <c r="A232" s="67" t="str">
        <f>IF(TRIM(G232)&lt;&gt;"",COUNTA(G$11:$G232)&amp;"","")</f>
        <v/>
      </c>
      <c r="B232" s="29"/>
      <c r="C232" s="29"/>
      <c r="D232" s="193" t="s">
        <v>77</v>
      </c>
      <c r="E232" s="191" t="s">
        <v>505</v>
      </c>
      <c r="F232" s="69"/>
      <c r="G232" s="70"/>
      <c r="H232" s="21" t="str">
        <f t="shared" si="346"/>
        <v/>
      </c>
      <c r="I232" s="47" t="str">
        <f t="shared" si="347"/>
        <v/>
      </c>
      <c r="J232" s="265" t="str">
        <f t="shared" si="348"/>
        <v/>
      </c>
      <c r="K232" s="268" t="str">
        <f t="shared" si="349"/>
        <v/>
      </c>
      <c r="L232" s="258" t="str">
        <f t="shared" ref="L232:L234" si="354">IF(F232=0,"",L$231)</f>
        <v/>
      </c>
      <c r="M232" s="282" t="str">
        <f t="shared" si="350"/>
        <v/>
      </c>
      <c r="N232" s="22" t="str">
        <f t="shared" si="351"/>
        <v/>
      </c>
      <c r="O232" s="268" t="str">
        <f t="shared" si="352"/>
        <v/>
      </c>
      <c r="P232" s="23" t="str">
        <f t="shared" ref="P232:P401" si="355">IF(F232=0,"",(K232+O232)/I232)</f>
        <v/>
      </c>
      <c r="Q232" s="268" t="str">
        <f t="shared" ref="Q232:Q401" si="356">IF(F232=0,"",(P232*I232))</f>
        <v/>
      </c>
      <c r="R232" s="120"/>
    </row>
    <row r="233" spans="1:18" x14ac:dyDescent="0.35">
      <c r="A233" s="67" t="str">
        <f>IF(TRIM(G233)&lt;&gt;"",COUNTA(G$11:$G233)&amp;"","")</f>
        <v/>
      </c>
      <c r="B233" s="68"/>
      <c r="C233" s="68"/>
      <c r="D233" s="30"/>
      <c r="E233" s="240" t="s">
        <v>447</v>
      </c>
      <c r="F233" s="69"/>
      <c r="G233" s="70"/>
      <c r="H233" s="21" t="str">
        <f t="shared" ref="H233:H246" si="357">IF(F233=0,"",0)</f>
        <v/>
      </c>
      <c r="I233" s="47" t="str">
        <f t="shared" ref="I233:I246" si="358">IF(F233=0,"",F233+(F233*H233))</f>
        <v/>
      </c>
      <c r="J233" s="265" t="str">
        <f t="shared" ref="J233" si="359">IF(F233=0,"",0)</f>
        <v/>
      </c>
      <c r="K233" s="268" t="str">
        <f t="shared" ref="K233:K246" si="360">IF(F233=0,"",J233*I233)</f>
        <v/>
      </c>
      <c r="L233" s="258" t="str">
        <f t="shared" si="354"/>
        <v/>
      </c>
      <c r="M233" s="282" t="str">
        <f t="shared" ref="M233" si="361">IF(F233=0,"",0)</f>
        <v/>
      </c>
      <c r="N233" s="22" t="str">
        <f t="shared" ref="N233:N246" si="362">IF(F233=0,"",M233*I233)</f>
        <v/>
      </c>
      <c r="O233" s="268" t="str">
        <f t="shared" ref="O233:O246" si="363">IF(F233=0,"",N233*L233)</f>
        <v/>
      </c>
      <c r="P233" s="23" t="str">
        <f t="shared" ref="P233:P246" si="364">IF(F233=0,"",(K233+O233)/I233)</f>
        <v/>
      </c>
      <c r="Q233" s="268" t="str">
        <f t="shared" ref="Q233:Q246" si="365">IF(F233=0,"",(P233*I233))</f>
        <v/>
      </c>
      <c r="R233" s="118"/>
    </row>
    <row r="234" spans="1:18" x14ac:dyDescent="0.35">
      <c r="A234" s="67" t="str">
        <f>IF(TRIM(G234)&lt;&gt;"",COUNTA(G$11:$G234)&amp;"","")</f>
        <v>157</v>
      </c>
      <c r="B234" s="310" t="s">
        <v>632</v>
      </c>
      <c r="C234" s="310" t="s">
        <v>632</v>
      </c>
      <c r="D234" s="30"/>
      <c r="E234" s="52" t="s">
        <v>448</v>
      </c>
      <c r="F234" s="69">
        <v>76.3</v>
      </c>
      <c r="G234" s="70" t="s">
        <v>177</v>
      </c>
      <c r="H234" s="21">
        <v>0.1</v>
      </c>
      <c r="I234" s="47">
        <f t="shared" si="358"/>
        <v>83.929999999999993</v>
      </c>
      <c r="J234" s="265">
        <f>10.58/8</f>
        <v>1.3225</v>
      </c>
      <c r="K234" s="268">
        <f t="shared" si="360"/>
        <v>110.99742499999999</v>
      </c>
      <c r="L234" s="258">
        <f t="shared" si="354"/>
        <v>52</v>
      </c>
      <c r="M234" s="282">
        <v>5.4300000000000001E-2</v>
      </c>
      <c r="N234" s="22">
        <f t="shared" si="362"/>
        <v>4.5573989999999993</v>
      </c>
      <c r="O234" s="268">
        <f t="shared" si="363"/>
        <v>236.98474799999997</v>
      </c>
      <c r="P234" s="23">
        <f t="shared" si="364"/>
        <v>4.1461000000000006</v>
      </c>
      <c r="Q234" s="268">
        <f t="shared" si="365"/>
        <v>347.98217299999999</v>
      </c>
      <c r="R234" s="118"/>
    </row>
    <row r="235" spans="1:18" x14ac:dyDescent="0.35">
      <c r="A235" s="67" t="str">
        <f>IF(TRIM(G235)&lt;&gt;"",COUNTA(G$11:$G235)&amp;"","")</f>
        <v/>
      </c>
      <c r="B235" s="311"/>
      <c r="C235" s="311"/>
      <c r="D235" s="30"/>
      <c r="E235" s="52"/>
      <c r="F235" s="69"/>
      <c r="G235" s="70"/>
      <c r="H235" s="21" t="str">
        <f t="shared" ref="H235:H244" si="366">IF(F235=0,"",0)</f>
        <v/>
      </c>
      <c r="I235" s="47" t="str">
        <f t="shared" ref="I235:I244" si="367">IF(F235=0,"",F235+(F235*H235))</f>
        <v/>
      </c>
      <c r="J235" s="265" t="str">
        <f t="shared" ref="J235:J239" si="368">IF(F235=0,"",0)</f>
        <v/>
      </c>
      <c r="K235" s="268" t="str">
        <f t="shared" ref="K235:K244" si="369">IF(F235=0,"",J235*I235)</f>
        <v/>
      </c>
      <c r="L235" s="258" t="str">
        <f t="shared" ref="L235:L244" si="370">IF(F235=0,"",L$231)</f>
        <v/>
      </c>
      <c r="M235" s="282" t="str">
        <f t="shared" ref="M235:M239" si="371">IF(F235=0,"",0)</f>
        <v/>
      </c>
      <c r="N235" s="22" t="str">
        <f t="shared" ref="N235:N244" si="372">IF(F235=0,"",M235*I235)</f>
        <v/>
      </c>
      <c r="O235" s="268" t="str">
        <f t="shared" ref="O235:O244" si="373">IF(F235=0,"",N235*L235)</f>
        <v/>
      </c>
      <c r="P235" s="23" t="str">
        <f t="shared" ref="P235:P244" si="374">IF(F235=0,"",(K235+O235)/I235)</f>
        <v/>
      </c>
      <c r="Q235" s="268" t="str">
        <f t="shared" ref="Q235:Q244" si="375">IF(F235=0,"",(P235*I235))</f>
        <v/>
      </c>
      <c r="R235" s="118"/>
    </row>
    <row r="236" spans="1:18" x14ac:dyDescent="0.35">
      <c r="A236" s="67" t="str">
        <f>IF(TRIM(G236)&lt;&gt;"",COUNTA(G$11:$G236)&amp;"","")</f>
        <v/>
      </c>
      <c r="B236" s="311"/>
      <c r="C236" s="311"/>
      <c r="D236" s="30"/>
      <c r="E236" s="240" t="s">
        <v>560</v>
      </c>
      <c r="F236" s="69"/>
      <c r="G236" s="70"/>
      <c r="H236" s="21"/>
      <c r="I236" s="47"/>
      <c r="J236" s="265"/>
      <c r="K236" s="268"/>
      <c r="L236" s="258"/>
      <c r="M236" s="282"/>
      <c r="N236" s="22"/>
      <c r="O236" s="268"/>
      <c r="P236" s="23"/>
      <c r="Q236" s="268"/>
      <c r="R236" s="118"/>
    </row>
    <row r="237" spans="1:18" x14ac:dyDescent="0.35">
      <c r="A237" s="67" t="str">
        <f>IF(TRIM(G237)&lt;&gt;"",COUNTA(G$11:$G237)&amp;"","")</f>
        <v>158</v>
      </c>
      <c r="B237" s="311"/>
      <c r="C237" s="311"/>
      <c r="D237" s="30"/>
      <c r="E237" s="52" t="s">
        <v>561</v>
      </c>
      <c r="F237" s="69">
        <f>F234/50</f>
        <v>1.526</v>
      </c>
      <c r="G237" s="70" t="s">
        <v>211</v>
      </c>
      <c r="H237" s="21">
        <f t="shared" ref="H237" si="376">IF(F237=0,"",0)</f>
        <v>0</v>
      </c>
      <c r="I237" s="47">
        <f t="shared" ref="I237" si="377">IF(F237=0,"",F237+(F237*H237))</f>
        <v>1.526</v>
      </c>
      <c r="J237" s="265">
        <v>25</v>
      </c>
      <c r="K237" s="268">
        <f t="shared" ref="K237" si="378">IF(F237=0,"",J237*I237)</f>
        <v>38.15</v>
      </c>
      <c r="L237" s="258">
        <f t="shared" ref="L237" si="379">IF(F237=0,"",L$231)</f>
        <v>52</v>
      </c>
      <c r="M237" s="282">
        <v>0.2</v>
      </c>
      <c r="N237" s="22">
        <f t="shared" ref="N237" si="380">IF(F237=0,"",M237*I237)</f>
        <v>0.30520000000000003</v>
      </c>
      <c r="O237" s="268">
        <f t="shared" ref="O237" si="381">IF(F237=0,"",N237*L237)</f>
        <v>15.870400000000002</v>
      </c>
      <c r="P237" s="23">
        <f t="shared" ref="P237" si="382">IF(F237=0,"",(K237+O237)/I237)</f>
        <v>35.4</v>
      </c>
      <c r="Q237" s="268">
        <f t="shared" ref="Q237" si="383">IF(F237=0,"",(P237*I237))</f>
        <v>54.020400000000002</v>
      </c>
      <c r="R237" s="118"/>
    </row>
    <row r="238" spans="1:18" x14ac:dyDescent="0.35">
      <c r="A238" s="67" t="str">
        <f>IF(TRIM(G238)&lt;&gt;"",COUNTA(G$11:$G238)&amp;"","")</f>
        <v/>
      </c>
      <c r="B238" s="311"/>
      <c r="C238" s="311"/>
      <c r="D238" s="30"/>
      <c r="E238" s="52"/>
      <c r="F238" s="69"/>
      <c r="G238" s="70"/>
      <c r="H238" s="21"/>
      <c r="I238" s="47"/>
      <c r="J238" s="265"/>
      <c r="K238" s="268"/>
      <c r="L238" s="258"/>
      <c r="M238" s="282"/>
      <c r="N238" s="22"/>
      <c r="O238" s="268"/>
      <c r="P238" s="23"/>
      <c r="Q238" s="268"/>
      <c r="R238" s="118"/>
    </row>
    <row r="239" spans="1:18" x14ac:dyDescent="0.35">
      <c r="A239" s="67" t="str">
        <f>IF(TRIM(G239)&lt;&gt;"",COUNTA(G$11:$G239)&amp;"","")</f>
        <v/>
      </c>
      <c r="B239" s="311"/>
      <c r="C239" s="311"/>
      <c r="D239" s="30"/>
      <c r="E239" s="240" t="s">
        <v>449</v>
      </c>
      <c r="F239" s="69"/>
      <c r="G239" s="70"/>
      <c r="H239" s="21" t="str">
        <f t="shared" si="366"/>
        <v/>
      </c>
      <c r="I239" s="47" t="str">
        <f t="shared" si="367"/>
        <v/>
      </c>
      <c r="J239" s="265" t="str">
        <f t="shared" si="368"/>
        <v/>
      </c>
      <c r="K239" s="268" t="str">
        <f t="shared" si="369"/>
        <v/>
      </c>
      <c r="L239" s="258" t="str">
        <f t="shared" si="370"/>
        <v/>
      </c>
      <c r="M239" s="282" t="str">
        <f t="shared" si="371"/>
        <v/>
      </c>
      <c r="N239" s="22" t="str">
        <f t="shared" si="372"/>
        <v/>
      </c>
      <c r="O239" s="268" t="str">
        <f t="shared" si="373"/>
        <v/>
      </c>
      <c r="P239" s="23" t="str">
        <f t="shared" si="374"/>
        <v/>
      </c>
      <c r="Q239" s="268" t="str">
        <f t="shared" si="375"/>
        <v/>
      </c>
      <c r="R239" s="118"/>
    </row>
    <row r="240" spans="1:18" x14ac:dyDescent="0.35">
      <c r="A240" s="67" t="str">
        <f>IF(TRIM(G240)&lt;&gt;"",COUNTA(G$11:$G240)&amp;"","")</f>
        <v>159</v>
      </c>
      <c r="B240" s="311"/>
      <c r="C240" s="311"/>
      <c r="D240" s="30"/>
      <c r="E240" s="52" t="s">
        <v>450</v>
      </c>
      <c r="F240" s="69">
        <v>4</v>
      </c>
      <c r="G240" s="70" t="s">
        <v>211</v>
      </c>
      <c r="H240" s="21">
        <f t="shared" si="366"/>
        <v>0</v>
      </c>
      <c r="I240" s="47">
        <f t="shared" si="367"/>
        <v>4</v>
      </c>
      <c r="J240" s="265">
        <f>(7.72/8)*2</f>
        <v>1.93</v>
      </c>
      <c r="K240" s="268">
        <f t="shared" si="369"/>
        <v>7.72</v>
      </c>
      <c r="L240" s="258">
        <f t="shared" si="370"/>
        <v>52</v>
      </c>
      <c r="M240" s="282">
        <v>9.5000000000000001E-2</v>
      </c>
      <c r="N240" s="22">
        <f t="shared" si="372"/>
        <v>0.38</v>
      </c>
      <c r="O240" s="268">
        <f t="shared" si="373"/>
        <v>19.760000000000002</v>
      </c>
      <c r="P240" s="23">
        <f t="shared" si="374"/>
        <v>6.87</v>
      </c>
      <c r="Q240" s="268">
        <f t="shared" si="375"/>
        <v>27.48</v>
      </c>
      <c r="R240" s="118"/>
    </row>
    <row r="241" spans="1:18" x14ac:dyDescent="0.35">
      <c r="A241" s="67" t="str">
        <f>IF(TRIM(G241)&lt;&gt;"",COUNTA(G$11:$G241)&amp;"","")</f>
        <v>160</v>
      </c>
      <c r="B241" s="311"/>
      <c r="C241" s="311"/>
      <c r="D241" s="30"/>
      <c r="E241" s="52" t="s">
        <v>451</v>
      </c>
      <c r="F241" s="69">
        <v>1</v>
      </c>
      <c r="G241" s="70" t="s">
        <v>211</v>
      </c>
      <c r="H241" s="21">
        <f t="shared" si="366"/>
        <v>0</v>
      </c>
      <c r="I241" s="47">
        <f t="shared" si="367"/>
        <v>1</v>
      </c>
      <c r="J241" s="265">
        <f>(7.72/8)*(9+3/12)</f>
        <v>8.9262499999999996</v>
      </c>
      <c r="K241" s="268">
        <f t="shared" si="369"/>
        <v>8.9262499999999996</v>
      </c>
      <c r="L241" s="258">
        <f t="shared" si="370"/>
        <v>52</v>
      </c>
      <c r="M241" s="282">
        <v>0.43937500000000002</v>
      </c>
      <c r="N241" s="22">
        <f t="shared" si="372"/>
        <v>0.43937500000000002</v>
      </c>
      <c r="O241" s="268">
        <f t="shared" si="373"/>
        <v>22.8475</v>
      </c>
      <c r="P241" s="23">
        <f t="shared" si="374"/>
        <v>31.77375</v>
      </c>
      <c r="Q241" s="268">
        <f t="shared" si="375"/>
        <v>31.77375</v>
      </c>
      <c r="R241" s="118"/>
    </row>
    <row r="242" spans="1:18" x14ac:dyDescent="0.35">
      <c r="A242" s="67" t="str">
        <f>IF(TRIM(G242)&lt;&gt;"",COUNTA(G$11:$G242)&amp;"","")</f>
        <v/>
      </c>
      <c r="B242" s="311"/>
      <c r="C242" s="311"/>
      <c r="D242" s="30"/>
      <c r="E242" s="52"/>
      <c r="F242" s="69"/>
      <c r="G242" s="70"/>
      <c r="H242" s="21"/>
      <c r="I242" s="47"/>
      <c r="J242" s="265"/>
      <c r="K242" s="268"/>
      <c r="L242" s="258"/>
      <c r="M242" s="282"/>
      <c r="N242" s="22"/>
      <c r="O242" s="268"/>
      <c r="P242" s="23"/>
      <c r="Q242" s="268"/>
      <c r="R242" s="118"/>
    </row>
    <row r="243" spans="1:18" x14ac:dyDescent="0.35">
      <c r="A243" s="67" t="str">
        <f>IF(TRIM(G243)&lt;&gt;"",COUNTA(G$11:$G243)&amp;"","")</f>
        <v>161</v>
      </c>
      <c r="B243" s="311"/>
      <c r="C243" s="311"/>
      <c r="D243" s="30"/>
      <c r="E243" s="52" t="s">
        <v>452</v>
      </c>
      <c r="F243" s="69">
        <v>4</v>
      </c>
      <c r="G243" s="70" t="s">
        <v>211</v>
      </c>
      <c r="H243" s="21">
        <f t="shared" si="366"/>
        <v>0</v>
      </c>
      <c r="I243" s="47">
        <f t="shared" si="367"/>
        <v>4</v>
      </c>
      <c r="J243" s="265">
        <v>120</v>
      </c>
      <c r="K243" s="268">
        <f t="shared" si="369"/>
        <v>480</v>
      </c>
      <c r="L243" s="258">
        <f t="shared" si="370"/>
        <v>52</v>
      </c>
      <c r="M243" s="282">
        <v>0.4</v>
      </c>
      <c r="N243" s="22">
        <f t="shared" si="372"/>
        <v>1.6</v>
      </c>
      <c r="O243" s="268">
        <f t="shared" si="373"/>
        <v>83.2</v>
      </c>
      <c r="P243" s="23">
        <f t="shared" si="374"/>
        <v>140.80000000000001</v>
      </c>
      <c r="Q243" s="268">
        <f t="shared" si="375"/>
        <v>563.20000000000005</v>
      </c>
      <c r="R243" s="118"/>
    </row>
    <row r="244" spans="1:18" x14ac:dyDescent="0.35">
      <c r="A244" s="67" t="str">
        <f>IF(TRIM(G244)&lt;&gt;"",COUNTA(G$11:$G244)&amp;"","")</f>
        <v/>
      </c>
      <c r="B244" s="311"/>
      <c r="C244" s="311"/>
      <c r="D244" s="30"/>
      <c r="E244" s="240" t="s">
        <v>453</v>
      </c>
      <c r="F244" s="69"/>
      <c r="G244" s="70"/>
      <c r="H244" s="21" t="str">
        <f t="shared" si="366"/>
        <v/>
      </c>
      <c r="I244" s="47" t="str">
        <f t="shared" si="367"/>
        <v/>
      </c>
      <c r="J244" s="265"/>
      <c r="K244" s="268" t="str">
        <f t="shared" si="369"/>
        <v/>
      </c>
      <c r="L244" s="258" t="str">
        <f t="shared" si="370"/>
        <v/>
      </c>
      <c r="M244" s="282"/>
      <c r="N244" s="22" t="str">
        <f t="shared" si="372"/>
        <v/>
      </c>
      <c r="O244" s="268" t="str">
        <f t="shared" si="373"/>
        <v/>
      </c>
      <c r="P244" s="23" t="str">
        <f t="shared" si="374"/>
        <v/>
      </c>
      <c r="Q244" s="268" t="str">
        <f t="shared" si="375"/>
        <v/>
      </c>
      <c r="R244" s="118"/>
    </row>
    <row r="245" spans="1:18" x14ac:dyDescent="0.35">
      <c r="A245" s="67" t="str">
        <f>IF(TRIM(G245)&lt;&gt;"",COUNTA(G$11:$G245)&amp;"","")</f>
        <v>162</v>
      </c>
      <c r="B245" s="311"/>
      <c r="C245" s="311"/>
      <c r="D245" s="30"/>
      <c r="E245" s="244" t="s">
        <v>454</v>
      </c>
      <c r="F245" s="239">
        <v>24</v>
      </c>
      <c r="G245" s="245" t="s">
        <v>177</v>
      </c>
      <c r="H245" s="21"/>
      <c r="I245" s="47"/>
      <c r="J245" s="265"/>
      <c r="K245" s="268"/>
      <c r="L245" s="258"/>
      <c r="M245" s="282"/>
      <c r="N245" s="22"/>
      <c r="O245" s="268"/>
      <c r="P245" s="23"/>
      <c r="Q245" s="268"/>
      <c r="R245" s="118"/>
    </row>
    <row r="246" spans="1:18" x14ac:dyDescent="0.35">
      <c r="A246" s="67" t="str">
        <f>IF(TRIM(G246)&lt;&gt;"",COUNTA(G$11:$G246)&amp;"","")</f>
        <v>163</v>
      </c>
      <c r="B246" s="311"/>
      <c r="C246" s="311"/>
      <c r="D246" s="30"/>
      <c r="E246" s="52" t="s">
        <v>458</v>
      </c>
      <c r="F246" s="69">
        <v>2</v>
      </c>
      <c r="G246" s="70" t="s">
        <v>211</v>
      </c>
      <c r="H246" s="21">
        <f t="shared" si="357"/>
        <v>0</v>
      </c>
      <c r="I246" s="47">
        <f t="shared" si="358"/>
        <v>2</v>
      </c>
      <c r="J246" s="265">
        <v>150</v>
      </c>
      <c r="K246" s="268">
        <f t="shared" si="360"/>
        <v>300</v>
      </c>
      <c r="L246" s="258">
        <f>IF(F246=0,"",L$231)</f>
        <v>52</v>
      </c>
      <c r="M246" s="282">
        <v>0.25</v>
      </c>
      <c r="N246" s="22">
        <f t="shared" si="362"/>
        <v>0.5</v>
      </c>
      <c r="O246" s="268">
        <f t="shared" si="363"/>
        <v>26</v>
      </c>
      <c r="P246" s="23">
        <f t="shared" si="364"/>
        <v>163</v>
      </c>
      <c r="Q246" s="268">
        <f t="shared" si="365"/>
        <v>326</v>
      </c>
      <c r="R246" s="118"/>
    </row>
    <row r="247" spans="1:18" x14ac:dyDescent="0.35">
      <c r="A247" s="67" t="str">
        <f>IF(TRIM(G247)&lt;&gt;"",COUNTA(G$11:$G247)&amp;"","")</f>
        <v/>
      </c>
      <c r="B247" s="311"/>
      <c r="C247" s="311"/>
      <c r="D247" s="30"/>
      <c r="E247" s="52"/>
      <c r="F247" s="69"/>
      <c r="G247" s="70"/>
      <c r="H247" s="21"/>
      <c r="I247" s="47"/>
      <c r="J247" s="265"/>
      <c r="K247" s="268"/>
      <c r="L247" s="258"/>
      <c r="M247" s="282"/>
      <c r="N247" s="22"/>
      <c r="O247" s="268"/>
      <c r="P247" s="23"/>
      <c r="Q247" s="268"/>
      <c r="R247" s="118"/>
    </row>
    <row r="248" spans="1:18" x14ac:dyDescent="0.35">
      <c r="A248" s="67" t="str">
        <f>IF(TRIM(G248)&lt;&gt;"",COUNTA(G$11:$G248)&amp;"","")</f>
        <v>164</v>
      </c>
      <c r="B248" s="311"/>
      <c r="C248" s="311"/>
      <c r="D248" s="30"/>
      <c r="E248" s="244" t="s">
        <v>454</v>
      </c>
      <c r="F248" s="239">
        <v>36</v>
      </c>
      <c r="G248" s="245" t="s">
        <v>177</v>
      </c>
      <c r="H248" s="21"/>
      <c r="I248" s="47"/>
      <c r="J248" s="265"/>
      <c r="K248" s="268"/>
      <c r="L248" s="258"/>
      <c r="M248" s="282"/>
      <c r="N248" s="22"/>
      <c r="O248" s="268"/>
      <c r="P248" s="23"/>
      <c r="Q248" s="268"/>
      <c r="R248" s="118"/>
    </row>
    <row r="249" spans="1:18" x14ac:dyDescent="0.35">
      <c r="A249" s="67" t="str">
        <f>IF(TRIM(G249)&lt;&gt;"",COUNTA(G$11:$G249)&amp;"","")</f>
        <v>165</v>
      </c>
      <c r="B249" s="311"/>
      <c r="C249" s="311"/>
      <c r="D249" s="30"/>
      <c r="E249" s="52" t="s">
        <v>458</v>
      </c>
      <c r="F249" s="69">
        <v>3</v>
      </c>
      <c r="G249" s="70" t="s">
        <v>211</v>
      </c>
      <c r="H249" s="21">
        <f t="shared" ref="H249" si="384">IF(F249=0,"",0)</f>
        <v>0</v>
      </c>
      <c r="I249" s="47">
        <f t="shared" ref="I249" si="385">IF(F249=0,"",F249+(F249*H249))</f>
        <v>3</v>
      </c>
      <c r="J249" s="265">
        <v>150</v>
      </c>
      <c r="K249" s="268">
        <f t="shared" ref="K249" si="386">IF(F249=0,"",J249*I249)</f>
        <v>450</v>
      </c>
      <c r="L249" s="258">
        <f>IF(F249=0,"",L$231)</f>
        <v>52</v>
      </c>
      <c r="M249" s="282">
        <v>0.25</v>
      </c>
      <c r="N249" s="22">
        <f t="shared" ref="N249" si="387">IF(F249=0,"",M249*I249)</f>
        <v>0.75</v>
      </c>
      <c r="O249" s="268">
        <f t="shared" ref="O249" si="388">IF(F249=0,"",N249*L249)</f>
        <v>39</v>
      </c>
      <c r="P249" s="23">
        <f t="shared" ref="P249" si="389">IF(F249=0,"",(K249+O249)/I249)</f>
        <v>163</v>
      </c>
      <c r="Q249" s="268">
        <f t="shared" ref="Q249" si="390">IF(F249=0,"",(P249*I249))</f>
        <v>489</v>
      </c>
      <c r="R249" s="118"/>
    </row>
    <row r="250" spans="1:18" x14ac:dyDescent="0.35">
      <c r="A250" s="67" t="str">
        <f>IF(TRIM(G250)&lt;&gt;"",COUNTA(G$11:$G250)&amp;"","")</f>
        <v/>
      </c>
      <c r="B250" s="311"/>
      <c r="C250" s="311"/>
      <c r="D250" s="30"/>
      <c r="E250" s="52"/>
      <c r="F250" s="69"/>
      <c r="G250" s="70"/>
      <c r="H250" s="21"/>
      <c r="I250" s="47"/>
      <c r="J250" s="265"/>
      <c r="K250" s="268"/>
      <c r="L250" s="258"/>
      <c r="M250" s="282"/>
      <c r="N250" s="22"/>
      <c r="O250" s="268"/>
      <c r="P250" s="23"/>
      <c r="Q250" s="268"/>
      <c r="R250" s="118"/>
    </row>
    <row r="251" spans="1:18" x14ac:dyDescent="0.35">
      <c r="A251" s="67" t="str">
        <f>IF(TRIM(G251)&lt;&gt;"",COUNTA(G$11:$G251)&amp;"","")</f>
        <v>166</v>
      </c>
      <c r="B251" s="311"/>
      <c r="C251" s="311"/>
      <c r="D251" s="30"/>
      <c r="E251" s="244" t="s">
        <v>455</v>
      </c>
      <c r="F251" s="239">
        <v>72</v>
      </c>
      <c r="G251" s="245" t="s">
        <v>177</v>
      </c>
      <c r="H251" s="21"/>
      <c r="I251" s="47"/>
      <c r="J251" s="265"/>
      <c r="K251" s="268"/>
      <c r="L251" s="258"/>
      <c r="M251" s="282"/>
      <c r="N251" s="22"/>
      <c r="O251" s="268"/>
      <c r="P251" s="23"/>
      <c r="Q251" s="268"/>
      <c r="R251" s="118"/>
    </row>
    <row r="252" spans="1:18" x14ac:dyDescent="0.35">
      <c r="A252" s="67" t="str">
        <f>IF(TRIM(G252)&lt;&gt;"",COUNTA(G$11:$G252)&amp;"","")</f>
        <v>167</v>
      </c>
      <c r="B252" s="311"/>
      <c r="C252" s="311"/>
      <c r="D252" s="30"/>
      <c r="E252" s="52" t="s">
        <v>459</v>
      </c>
      <c r="F252" s="69">
        <v>3</v>
      </c>
      <c r="G252" s="70" t="s">
        <v>211</v>
      </c>
      <c r="H252" s="21">
        <f t="shared" ref="H252" si="391">IF(F252=0,"",0)</f>
        <v>0</v>
      </c>
      <c r="I252" s="47">
        <f t="shared" ref="I252" si="392">IF(F252=0,"",F252+(F252*H252))</f>
        <v>3</v>
      </c>
      <c r="J252" s="265">
        <v>250</v>
      </c>
      <c r="K252" s="268">
        <f t="shared" ref="K252" si="393">IF(F252=0,"",J252*I252)</f>
        <v>750</v>
      </c>
      <c r="L252" s="258">
        <f>IF(F252=0,"",L$231)</f>
        <v>52</v>
      </c>
      <c r="M252" s="282">
        <v>0.4</v>
      </c>
      <c r="N252" s="22">
        <f t="shared" ref="N252" si="394">IF(F252=0,"",M252*I252)</f>
        <v>1.2000000000000002</v>
      </c>
      <c r="O252" s="268">
        <f t="shared" ref="O252" si="395">IF(F252=0,"",N252*L252)</f>
        <v>62.400000000000006</v>
      </c>
      <c r="P252" s="23">
        <f t="shared" ref="P252" si="396">IF(F252=0,"",(K252+O252)/I252)</f>
        <v>270.8</v>
      </c>
      <c r="Q252" s="268">
        <f t="shared" ref="Q252" si="397">IF(F252=0,"",(P252*I252))</f>
        <v>812.40000000000009</v>
      </c>
      <c r="R252" s="118"/>
    </row>
    <row r="253" spans="1:18" x14ac:dyDescent="0.35">
      <c r="A253" s="67" t="str">
        <f>IF(TRIM(G253)&lt;&gt;"",COUNTA(G$11:$G253)&amp;"","")</f>
        <v/>
      </c>
      <c r="B253" s="311"/>
      <c r="C253" s="311"/>
      <c r="D253" s="30"/>
      <c r="E253" s="52"/>
      <c r="F253" s="69"/>
      <c r="G253" s="70"/>
      <c r="H253" s="21"/>
      <c r="I253" s="47"/>
      <c r="J253" s="265"/>
      <c r="K253" s="268"/>
      <c r="L253" s="258"/>
      <c r="M253" s="282"/>
      <c r="N253" s="22"/>
      <c r="O253" s="268"/>
      <c r="P253" s="23"/>
      <c r="Q253" s="268"/>
      <c r="R253" s="118"/>
    </row>
    <row r="254" spans="1:18" x14ac:dyDescent="0.35">
      <c r="A254" s="67" t="str">
        <f>IF(TRIM(G254)&lt;&gt;"",COUNTA(G$11:$G254)&amp;"","")</f>
        <v>168</v>
      </c>
      <c r="B254" s="311"/>
      <c r="C254" s="311"/>
      <c r="D254" s="30"/>
      <c r="E254" s="244" t="s">
        <v>456</v>
      </c>
      <c r="F254" s="239">
        <v>12</v>
      </c>
      <c r="G254" s="245" t="s">
        <v>177</v>
      </c>
      <c r="H254" s="21"/>
      <c r="I254" s="47"/>
      <c r="J254" s="265">
        <v>14</v>
      </c>
      <c r="K254" s="268"/>
      <c r="L254" s="258"/>
      <c r="M254" s="282">
        <v>0.15</v>
      </c>
      <c r="N254" s="22"/>
      <c r="O254" s="268"/>
      <c r="P254" s="23"/>
      <c r="Q254" s="268"/>
      <c r="R254" s="118"/>
    </row>
    <row r="255" spans="1:18" x14ac:dyDescent="0.35">
      <c r="A255" s="67" t="str">
        <f>IF(TRIM(G255)&lt;&gt;"",COUNTA(G$11:$G255)&amp;"","")</f>
        <v>169</v>
      </c>
      <c r="B255" s="311"/>
      <c r="C255" s="311"/>
      <c r="D255" s="30"/>
      <c r="E255" s="52" t="s">
        <v>460</v>
      </c>
      <c r="F255" s="69">
        <v>1</v>
      </c>
      <c r="G255" s="70" t="s">
        <v>211</v>
      </c>
      <c r="H255" s="21">
        <f t="shared" ref="H255" si="398">IF(F255=0,"",0)</f>
        <v>0</v>
      </c>
      <c r="I255" s="47">
        <f t="shared" ref="I255" si="399">IF(F255=0,"",F255+(F255*H255))</f>
        <v>1</v>
      </c>
      <c r="J255" s="265">
        <v>180</v>
      </c>
      <c r="K255" s="268">
        <f t="shared" ref="K255" si="400">IF(F255=0,"",J255*I255)</f>
        <v>180</v>
      </c>
      <c r="L255" s="258">
        <f>IF(F255=0,"",L$231)</f>
        <v>52</v>
      </c>
      <c r="M255" s="282">
        <v>0.25</v>
      </c>
      <c r="N255" s="22">
        <f t="shared" ref="N255" si="401">IF(F255=0,"",M255*I255)</f>
        <v>0.25</v>
      </c>
      <c r="O255" s="268">
        <f t="shared" ref="O255" si="402">IF(F255=0,"",N255*L255)</f>
        <v>13</v>
      </c>
      <c r="P255" s="23">
        <f t="shared" ref="P255" si="403">IF(F255=0,"",(K255+O255)/I255)</f>
        <v>193</v>
      </c>
      <c r="Q255" s="268">
        <f t="shared" ref="Q255" si="404">IF(F255=0,"",(P255*I255))</f>
        <v>193</v>
      </c>
      <c r="R255" s="118"/>
    </row>
    <row r="256" spans="1:18" x14ac:dyDescent="0.35">
      <c r="A256" s="67" t="str">
        <f>IF(TRIM(G256)&lt;&gt;"",COUNTA(G$11:$G256)&amp;"","")</f>
        <v/>
      </c>
      <c r="B256" s="311"/>
      <c r="C256" s="311"/>
      <c r="D256" s="30"/>
      <c r="E256" s="52"/>
      <c r="F256" s="69"/>
      <c r="G256" s="70"/>
      <c r="H256" s="21"/>
      <c r="I256" s="47"/>
      <c r="J256" s="265"/>
      <c r="K256" s="268"/>
      <c r="L256" s="258"/>
      <c r="M256" s="282"/>
      <c r="N256" s="22"/>
      <c r="O256" s="268"/>
      <c r="P256" s="23"/>
      <c r="Q256" s="268"/>
      <c r="R256" s="118"/>
    </row>
    <row r="257" spans="1:18" x14ac:dyDescent="0.35">
      <c r="A257" s="67" t="str">
        <f>IF(TRIM(G257)&lt;&gt;"",COUNTA(G$11:$G257)&amp;"","")</f>
        <v>170</v>
      </c>
      <c r="B257" s="311"/>
      <c r="C257" s="311"/>
      <c r="D257" s="30"/>
      <c r="E257" s="244" t="s">
        <v>457</v>
      </c>
      <c r="F257" s="239">
        <v>78</v>
      </c>
      <c r="G257" s="245" t="s">
        <v>177</v>
      </c>
      <c r="H257" s="21"/>
      <c r="I257" s="47"/>
      <c r="J257" s="265"/>
      <c r="K257" s="268"/>
      <c r="L257" s="258"/>
      <c r="M257" s="282"/>
      <c r="N257" s="22"/>
      <c r="O257" s="268"/>
      <c r="P257" s="23"/>
      <c r="Q257" s="268"/>
      <c r="R257" s="118"/>
    </row>
    <row r="258" spans="1:18" x14ac:dyDescent="0.35">
      <c r="A258" s="67" t="str">
        <f>IF(TRIM(G258)&lt;&gt;"",COUNTA(G$11:$G258)&amp;"","")</f>
        <v>171</v>
      </c>
      <c r="B258" s="311"/>
      <c r="C258" s="311"/>
      <c r="D258" s="30"/>
      <c r="E258" s="52" t="s">
        <v>461</v>
      </c>
      <c r="F258" s="69">
        <v>1</v>
      </c>
      <c r="G258" s="70" t="s">
        <v>211</v>
      </c>
      <c r="H258" s="21">
        <f t="shared" ref="H258:H262" si="405">IF(F258=0,"",0)</f>
        <v>0</v>
      </c>
      <c r="I258" s="47">
        <f t="shared" ref="I258:I262" si="406">IF(F258=0,"",F258+(F258*H258))</f>
        <v>1</v>
      </c>
      <c r="J258" s="265">
        <v>160</v>
      </c>
      <c r="K258" s="268">
        <f t="shared" ref="K258:K262" si="407">IF(F258=0,"",J258*I258)</f>
        <v>160</v>
      </c>
      <c r="L258" s="258">
        <f t="shared" ref="L258:L262" si="408">IF(F258=0,"",L$231)</f>
        <v>52</v>
      </c>
      <c r="M258" s="282">
        <v>0.2</v>
      </c>
      <c r="N258" s="22">
        <f t="shared" ref="N258:N262" si="409">IF(F258=0,"",M258*I258)</f>
        <v>0.2</v>
      </c>
      <c r="O258" s="268">
        <f t="shared" ref="O258:O262" si="410">IF(F258=0,"",N258*L258)</f>
        <v>10.4</v>
      </c>
      <c r="P258" s="23">
        <f t="shared" ref="P258:P262" si="411">IF(F258=0,"",(K258+O258)/I258)</f>
        <v>170.4</v>
      </c>
      <c r="Q258" s="268">
        <f t="shared" ref="Q258:Q262" si="412">IF(F258=0,"",(P258*I258))</f>
        <v>170.4</v>
      </c>
      <c r="R258" s="118"/>
    </row>
    <row r="259" spans="1:18" x14ac:dyDescent="0.35">
      <c r="A259" s="67" t="str">
        <f>IF(TRIM(G259)&lt;&gt;"",COUNTA(G$11:$G259)&amp;"","")</f>
        <v>172</v>
      </c>
      <c r="B259" s="311"/>
      <c r="C259" s="311"/>
      <c r="D259" s="30"/>
      <c r="E259" s="52" t="s">
        <v>462</v>
      </c>
      <c r="F259" s="69">
        <v>1</v>
      </c>
      <c r="G259" s="70" t="s">
        <v>211</v>
      </c>
      <c r="H259" s="21">
        <f t="shared" si="405"/>
        <v>0</v>
      </c>
      <c r="I259" s="47">
        <f t="shared" si="406"/>
        <v>1</v>
      </c>
      <c r="J259" s="265">
        <v>190</v>
      </c>
      <c r="K259" s="268">
        <f t="shared" si="407"/>
        <v>190</v>
      </c>
      <c r="L259" s="258">
        <f t="shared" si="408"/>
        <v>52</v>
      </c>
      <c r="M259" s="282">
        <v>0.25</v>
      </c>
      <c r="N259" s="22">
        <f t="shared" si="409"/>
        <v>0.25</v>
      </c>
      <c r="O259" s="268">
        <f t="shared" si="410"/>
        <v>13</v>
      </c>
      <c r="P259" s="23">
        <f t="shared" si="411"/>
        <v>203</v>
      </c>
      <c r="Q259" s="268">
        <f t="shared" si="412"/>
        <v>203</v>
      </c>
      <c r="R259" s="118"/>
    </row>
    <row r="260" spans="1:18" x14ac:dyDescent="0.35">
      <c r="A260" s="67" t="str">
        <f>IF(TRIM(G260)&lt;&gt;"",COUNTA(G$11:$G260)&amp;"","")</f>
        <v>173</v>
      </c>
      <c r="B260" s="311"/>
      <c r="C260" s="311"/>
      <c r="D260" s="30"/>
      <c r="E260" s="52" t="s">
        <v>463</v>
      </c>
      <c r="F260" s="69">
        <v>1</v>
      </c>
      <c r="G260" s="70" t="s">
        <v>211</v>
      </c>
      <c r="H260" s="21">
        <f t="shared" si="405"/>
        <v>0</v>
      </c>
      <c r="I260" s="47">
        <f t="shared" si="406"/>
        <v>1</v>
      </c>
      <c r="J260" s="265">
        <v>220</v>
      </c>
      <c r="K260" s="268">
        <f t="shared" si="407"/>
        <v>220</v>
      </c>
      <c r="L260" s="258">
        <f t="shared" si="408"/>
        <v>52</v>
      </c>
      <c r="M260" s="282">
        <v>0.3</v>
      </c>
      <c r="N260" s="22">
        <f t="shared" si="409"/>
        <v>0.3</v>
      </c>
      <c r="O260" s="268">
        <f t="shared" si="410"/>
        <v>15.6</v>
      </c>
      <c r="P260" s="23">
        <f t="shared" si="411"/>
        <v>235.6</v>
      </c>
      <c r="Q260" s="268">
        <f t="shared" si="412"/>
        <v>235.6</v>
      </c>
      <c r="R260" s="118"/>
    </row>
    <row r="261" spans="1:18" x14ac:dyDescent="0.35">
      <c r="A261" s="67" t="str">
        <f>IF(TRIM(G261)&lt;&gt;"",COUNTA(G$11:$G261)&amp;"","")</f>
        <v>174</v>
      </c>
      <c r="B261" s="311"/>
      <c r="C261" s="311"/>
      <c r="D261" s="30"/>
      <c r="E261" s="52" t="s">
        <v>464</v>
      </c>
      <c r="F261" s="69">
        <v>1</v>
      </c>
      <c r="G261" s="70" t="s">
        <v>211</v>
      </c>
      <c r="H261" s="21">
        <f t="shared" si="405"/>
        <v>0</v>
      </c>
      <c r="I261" s="47">
        <f t="shared" si="406"/>
        <v>1</v>
      </c>
      <c r="J261" s="265">
        <v>310</v>
      </c>
      <c r="K261" s="268">
        <f t="shared" si="407"/>
        <v>310</v>
      </c>
      <c r="L261" s="258">
        <f t="shared" si="408"/>
        <v>52</v>
      </c>
      <c r="M261" s="282">
        <v>0.45</v>
      </c>
      <c r="N261" s="22">
        <f t="shared" si="409"/>
        <v>0.45</v>
      </c>
      <c r="O261" s="268">
        <f t="shared" si="410"/>
        <v>23.400000000000002</v>
      </c>
      <c r="P261" s="23">
        <f t="shared" si="411"/>
        <v>333.4</v>
      </c>
      <c r="Q261" s="268">
        <f t="shared" si="412"/>
        <v>333.4</v>
      </c>
      <c r="R261" s="118"/>
    </row>
    <row r="262" spans="1:18" x14ac:dyDescent="0.35">
      <c r="A262" s="67" t="str">
        <f>IF(TRIM(G262)&lt;&gt;"",COUNTA(G$11:$G262)&amp;"","")</f>
        <v>175</v>
      </c>
      <c r="B262" s="311"/>
      <c r="C262" s="311"/>
      <c r="D262" s="30"/>
      <c r="E262" s="52" t="s">
        <v>465</v>
      </c>
      <c r="F262" s="69">
        <v>1</v>
      </c>
      <c r="G262" s="70" t="s">
        <v>211</v>
      </c>
      <c r="H262" s="21">
        <f t="shared" si="405"/>
        <v>0</v>
      </c>
      <c r="I262" s="47">
        <f t="shared" si="406"/>
        <v>1</v>
      </c>
      <c r="J262" s="265">
        <v>340</v>
      </c>
      <c r="K262" s="268">
        <f t="shared" si="407"/>
        <v>340</v>
      </c>
      <c r="L262" s="258">
        <f t="shared" si="408"/>
        <v>52</v>
      </c>
      <c r="M262" s="282">
        <v>0.5</v>
      </c>
      <c r="N262" s="22">
        <f t="shared" si="409"/>
        <v>0.5</v>
      </c>
      <c r="O262" s="268">
        <f t="shared" si="410"/>
        <v>26</v>
      </c>
      <c r="P262" s="23">
        <f t="shared" si="411"/>
        <v>366</v>
      </c>
      <c r="Q262" s="268">
        <f t="shared" si="412"/>
        <v>366</v>
      </c>
      <c r="R262" s="118"/>
    </row>
    <row r="263" spans="1:18" x14ac:dyDescent="0.35">
      <c r="A263" s="67" t="str">
        <f>IF(TRIM(G263)&lt;&gt;"",COUNTA(G$11:$G263)&amp;"","")</f>
        <v/>
      </c>
      <c r="B263" s="311"/>
      <c r="C263" s="311"/>
      <c r="D263" s="30"/>
      <c r="E263" s="52"/>
      <c r="F263" s="69"/>
      <c r="G263" s="70"/>
      <c r="H263" s="21"/>
      <c r="I263" s="47"/>
      <c r="J263" s="265"/>
      <c r="K263" s="268"/>
      <c r="L263" s="258"/>
      <c r="M263" s="282"/>
      <c r="N263" s="22"/>
      <c r="O263" s="268"/>
      <c r="P263" s="23"/>
      <c r="Q263" s="268"/>
      <c r="R263" s="118"/>
    </row>
    <row r="264" spans="1:18" x14ac:dyDescent="0.35">
      <c r="A264" s="67" t="str">
        <f>IF(TRIM(G264)&lt;&gt;"",COUNTA(G$11:$G264)&amp;"","")</f>
        <v/>
      </c>
      <c r="B264" s="311"/>
      <c r="C264" s="311"/>
      <c r="D264" s="30"/>
      <c r="E264" s="240" t="s">
        <v>466</v>
      </c>
      <c r="F264" s="69"/>
      <c r="G264" s="70"/>
      <c r="H264" s="21"/>
      <c r="I264" s="47"/>
      <c r="J264" s="265"/>
      <c r="K264" s="268"/>
      <c r="L264" s="258"/>
      <c r="M264" s="282"/>
      <c r="N264" s="22"/>
      <c r="O264" s="268"/>
      <c r="P264" s="23"/>
      <c r="Q264" s="268"/>
      <c r="R264" s="118"/>
    </row>
    <row r="265" spans="1:18" x14ac:dyDescent="0.35">
      <c r="A265" s="67" t="str">
        <f>IF(TRIM(G265)&lt;&gt;"",COUNTA(G$11:$G265)&amp;"","")</f>
        <v>176</v>
      </c>
      <c r="B265" s="311"/>
      <c r="C265" s="311"/>
      <c r="D265" s="30"/>
      <c r="E265" s="244" t="s">
        <v>467</v>
      </c>
      <c r="F265" s="239">
        <v>8</v>
      </c>
      <c r="G265" s="245" t="s">
        <v>177</v>
      </c>
      <c r="H265" s="21"/>
      <c r="I265" s="47"/>
      <c r="J265" s="265"/>
      <c r="K265" s="268"/>
      <c r="L265" s="258"/>
      <c r="M265" s="282"/>
      <c r="N265" s="22"/>
      <c r="O265" s="268"/>
      <c r="P265" s="23"/>
      <c r="Q265" s="268"/>
      <c r="R265" s="118"/>
    </row>
    <row r="266" spans="1:18" x14ac:dyDescent="0.35">
      <c r="A266" s="67" t="str">
        <f>IF(TRIM(G266)&lt;&gt;"",COUNTA(G$11:$G266)&amp;"","")</f>
        <v>177</v>
      </c>
      <c r="B266" s="311"/>
      <c r="C266" s="311"/>
      <c r="D266" s="30"/>
      <c r="E266" s="52" t="s">
        <v>469</v>
      </c>
      <c r="F266" s="69">
        <v>1</v>
      </c>
      <c r="G266" s="70" t="s">
        <v>211</v>
      </c>
      <c r="H266" s="21">
        <f t="shared" ref="H266" si="413">IF(F266=0,"",0)</f>
        <v>0</v>
      </c>
      <c r="I266" s="47">
        <f t="shared" ref="I266" si="414">IF(F266=0,"",F266+(F266*H266))</f>
        <v>1</v>
      </c>
      <c r="J266" s="265">
        <v>48</v>
      </c>
      <c r="K266" s="268">
        <f t="shared" ref="K266" si="415">IF(F266=0,"",J266*I266)</f>
        <v>48</v>
      </c>
      <c r="L266" s="258">
        <f t="shared" ref="L266" si="416">IF(F266=0,"",L$231)</f>
        <v>52</v>
      </c>
      <c r="M266" s="282">
        <v>0.15</v>
      </c>
      <c r="N266" s="22">
        <f t="shared" ref="N266" si="417">IF(F266=0,"",M266*I266)</f>
        <v>0.15</v>
      </c>
      <c r="O266" s="268">
        <f t="shared" ref="O266" si="418">IF(F266=0,"",N266*L266)</f>
        <v>7.8</v>
      </c>
      <c r="P266" s="23">
        <f t="shared" ref="P266" si="419">IF(F266=0,"",(K266+O266)/I266)</f>
        <v>55.8</v>
      </c>
      <c r="Q266" s="268">
        <f t="shared" ref="Q266" si="420">IF(F266=0,"",(P266*I266))</f>
        <v>55.8</v>
      </c>
      <c r="R266" s="118"/>
    </row>
    <row r="267" spans="1:18" x14ac:dyDescent="0.35">
      <c r="A267" s="67" t="str">
        <f>IF(TRIM(G267)&lt;&gt;"",COUNTA(G$11:$G267)&amp;"","")</f>
        <v/>
      </c>
      <c r="B267" s="311"/>
      <c r="C267" s="311"/>
      <c r="D267" s="30"/>
      <c r="E267" s="52"/>
      <c r="F267" s="69"/>
      <c r="G267" s="70"/>
      <c r="H267" s="21"/>
      <c r="I267" s="47"/>
      <c r="J267" s="265"/>
      <c r="K267" s="268"/>
      <c r="L267" s="258"/>
      <c r="M267" s="282"/>
      <c r="N267" s="22"/>
      <c r="O267" s="268"/>
      <c r="P267" s="23"/>
      <c r="Q267" s="268"/>
      <c r="R267" s="118"/>
    </row>
    <row r="268" spans="1:18" x14ac:dyDescent="0.35">
      <c r="A268" s="67" t="str">
        <f>IF(TRIM(G268)&lt;&gt;"",COUNTA(G$11:$G268)&amp;"","")</f>
        <v>178</v>
      </c>
      <c r="B268" s="311"/>
      <c r="C268" s="311"/>
      <c r="D268" s="30"/>
      <c r="E268" s="244" t="s">
        <v>468</v>
      </c>
      <c r="F268" s="239">
        <v>174</v>
      </c>
      <c r="G268" s="245" t="s">
        <v>177</v>
      </c>
      <c r="H268" s="21"/>
      <c r="I268" s="47"/>
      <c r="J268" s="265"/>
      <c r="K268" s="268"/>
      <c r="L268" s="258"/>
      <c r="M268" s="282"/>
      <c r="N268" s="22"/>
      <c r="O268" s="268"/>
      <c r="P268" s="23"/>
      <c r="Q268" s="268"/>
      <c r="R268" s="118"/>
    </row>
    <row r="269" spans="1:18" x14ac:dyDescent="0.35">
      <c r="A269" s="67" t="str">
        <f>IF(TRIM(G269)&lt;&gt;"",COUNTA(G$11:$G269)&amp;"","")</f>
        <v>179</v>
      </c>
      <c r="B269" s="311"/>
      <c r="C269" s="311"/>
      <c r="D269" s="30"/>
      <c r="E269" s="52" t="s">
        <v>471</v>
      </c>
      <c r="F269" s="69">
        <v>5</v>
      </c>
      <c r="G269" s="70" t="s">
        <v>211</v>
      </c>
      <c r="H269" s="21">
        <f t="shared" ref="H269:H272" si="421">IF(F269=0,"",0)</f>
        <v>0</v>
      </c>
      <c r="I269" s="47">
        <f t="shared" ref="I269:I272" si="422">IF(F269=0,"",F269+(F269*H269))</f>
        <v>5</v>
      </c>
      <c r="J269" s="265">
        <v>68</v>
      </c>
      <c r="K269" s="268">
        <f t="shared" ref="K269:K272" si="423">IF(F269=0,"",J269*I269)</f>
        <v>340</v>
      </c>
      <c r="L269" s="258">
        <f t="shared" ref="L269:L272" si="424">IF(F269=0,"",L$231)</f>
        <v>52</v>
      </c>
      <c r="M269" s="282">
        <v>0.15</v>
      </c>
      <c r="N269" s="22">
        <f t="shared" ref="N269:N272" si="425">IF(F269=0,"",M269*I269)</f>
        <v>0.75</v>
      </c>
      <c r="O269" s="268">
        <f t="shared" ref="O269:O272" si="426">IF(F269=0,"",N269*L269)</f>
        <v>39</v>
      </c>
      <c r="P269" s="23">
        <f t="shared" ref="P269:P272" si="427">IF(F269=0,"",(K269+O269)/I269)</f>
        <v>75.8</v>
      </c>
      <c r="Q269" s="268">
        <f t="shared" ref="Q269:Q272" si="428">IF(F269=0,"",(P269*I269))</f>
        <v>379</v>
      </c>
      <c r="R269" s="118"/>
    </row>
    <row r="270" spans="1:18" x14ac:dyDescent="0.35">
      <c r="A270" s="67" t="str">
        <f>IF(TRIM(G270)&lt;&gt;"",COUNTA(G$11:$G270)&amp;"","")</f>
        <v>180</v>
      </c>
      <c r="B270" s="311"/>
      <c r="C270" s="311"/>
      <c r="D270" s="30"/>
      <c r="E270" s="52" t="s">
        <v>472</v>
      </c>
      <c r="F270" s="69">
        <v>6</v>
      </c>
      <c r="G270" s="70" t="s">
        <v>211</v>
      </c>
      <c r="H270" s="21">
        <f t="shared" si="421"/>
        <v>0</v>
      </c>
      <c r="I270" s="47">
        <f t="shared" si="422"/>
        <v>6</v>
      </c>
      <c r="J270" s="265">
        <v>85</v>
      </c>
      <c r="K270" s="268">
        <f t="shared" si="423"/>
        <v>510</v>
      </c>
      <c r="L270" s="258">
        <f t="shared" si="424"/>
        <v>52</v>
      </c>
      <c r="M270" s="282">
        <v>0.18</v>
      </c>
      <c r="N270" s="22">
        <f t="shared" si="425"/>
        <v>1.08</v>
      </c>
      <c r="O270" s="268">
        <f t="shared" si="426"/>
        <v>56.160000000000004</v>
      </c>
      <c r="P270" s="23">
        <f t="shared" si="427"/>
        <v>94.36</v>
      </c>
      <c r="Q270" s="268">
        <f t="shared" si="428"/>
        <v>566.16</v>
      </c>
      <c r="R270" s="118"/>
    </row>
    <row r="271" spans="1:18" x14ac:dyDescent="0.35">
      <c r="A271" s="67" t="str">
        <f>IF(TRIM(G271)&lt;&gt;"",COUNTA(G$11:$G271)&amp;"","")</f>
        <v>181</v>
      </c>
      <c r="B271" s="311"/>
      <c r="C271" s="311"/>
      <c r="D271" s="30"/>
      <c r="E271" s="52" t="s">
        <v>470</v>
      </c>
      <c r="F271" s="69">
        <v>3</v>
      </c>
      <c r="G271" s="70" t="s">
        <v>211</v>
      </c>
      <c r="H271" s="21">
        <f t="shared" si="421"/>
        <v>0</v>
      </c>
      <c r="I271" s="47">
        <f t="shared" si="422"/>
        <v>3</v>
      </c>
      <c r="J271" s="265">
        <v>150</v>
      </c>
      <c r="K271" s="268">
        <f t="shared" si="423"/>
        <v>450</v>
      </c>
      <c r="L271" s="258">
        <f t="shared" si="424"/>
        <v>52</v>
      </c>
      <c r="M271" s="282">
        <v>0.3</v>
      </c>
      <c r="N271" s="22">
        <f t="shared" si="425"/>
        <v>0.89999999999999991</v>
      </c>
      <c r="O271" s="268">
        <f t="shared" si="426"/>
        <v>46.8</v>
      </c>
      <c r="P271" s="23">
        <f t="shared" si="427"/>
        <v>165.6</v>
      </c>
      <c r="Q271" s="268">
        <f t="shared" si="428"/>
        <v>496.79999999999995</v>
      </c>
      <c r="R271" s="118"/>
    </row>
    <row r="272" spans="1:18" x14ac:dyDescent="0.35">
      <c r="A272" s="67" t="str">
        <f>IF(TRIM(G272)&lt;&gt;"",COUNTA(G$11:$G272)&amp;"","")</f>
        <v>182</v>
      </c>
      <c r="B272" s="311"/>
      <c r="C272" s="311"/>
      <c r="D272" s="30"/>
      <c r="E272" s="52" t="s">
        <v>473</v>
      </c>
      <c r="F272" s="69">
        <v>3</v>
      </c>
      <c r="G272" s="70" t="s">
        <v>211</v>
      </c>
      <c r="H272" s="21">
        <f t="shared" si="421"/>
        <v>0</v>
      </c>
      <c r="I272" s="47">
        <f t="shared" si="422"/>
        <v>3</v>
      </c>
      <c r="J272" s="265">
        <v>165</v>
      </c>
      <c r="K272" s="268">
        <f t="shared" si="423"/>
        <v>495</v>
      </c>
      <c r="L272" s="258">
        <f t="shared" si="424"/>
        <v>52</v>
      </c>
      <c r="M272" s="282">
        <v>0.35</v>
      </c>
      <c r="N272" s="22">
        <f t="shared" si="425"/>
        <v>1.0499999999999998</v>
      </c>
      <c r="O272" s="268">
        <f t="shared" si="426"/>
        <v>54.599999999999994</v>
      </c>
      <c r="P272" s="23">
        <f t="shared" si="427"/>
        <v>183.20000000000002</v>
      </c>
      <c r="Q272" s="268">
        <f t="shared" si="428"/>
        <v>549.6</v>
      </c>
      <c r="R272" s="118"/>
    </row>
    <row r="273" spans="1:18" x14ac:dyDescent="0.35">
      <c r="A273" s="67" t="str">
        <f>IF(TRIM(G273)&lt;&gt;"",COUNTA(G$11:$G273)&amp;"","")</f>
        <v/>
      </c>
      <c r="B273" s="311"/>
      <c r="C273" s="311"/>
      <c r="D273" s="30"/>
      <c r="E273" s="52"/>
      <c r="F273" s="69"/>
      <c r="G273" s="70"/>
      <c r="H273" s="21"/>
      <c r="I273" s="47"/>
      <c r="J273" s="265"/>
      <c r="K273" s="268"/>
      <c r="L273" s="258"/>
      <c r="M273" s="282"/>
      <c r="N273" s="22"/>
      <c r="O273" s="268"/>
      <c r="P273" s="23"/>
      <c r="Q273" s="268"/>
      <c r="R273" s="118"/>
    </row>
    <row r="274" spans="1:18" x14ac:dyDescent="0.35">
      <c r="A274" s="67" t="str">
        <f>IF(TRIM(G274)&lt;&gt;"",COUNTA(G$11:$G274)&amp;"","")</f>
        <v/>
      </c>
      <c r="B274" s="311"/>
      <c r="C274" s="311"/>
      <c r="D274" s="30"/>
      <c r="E274" s="240" t="s">
        <v>474</v>
      </c>
      <c r="F274" s="69"/>
      <c r="G274" s="70"/>
      <c r="H274" s="21"/>
      <c r="I274" s="47"/>
      <c r="J274" s="265"/>
      <c r="K274" s="268"/>
      <c r="L274" s="258"/>
      <c r="M274" s="282"/>
      <c r="N274" s="22"/>
      <c r="O274" s="268"/>
      <c r="P274" s="23"/>
      <c r="Q274" s="268"/>
      <c r="R274" s="118"/>
    </row>
    <row r="275" spans="1:18" x14ac:dyDescent="0.35">
      <c r="A275" s="67" t="str">
        <f>IF(TRIM(G275)&lt;&gt;"",COUNTA(G$11:$G275)&amp;"","")</f>
        <v>183</v>
      </c>
      <c r="B275" s="311"/>
      <c r="C275" s="311"/>
      <c r="D275" s="30"/>
      <c r="E275" s="244" t="s">
        <v>475</v>
      </c>
      <c r="F275" s="239">
        <v>509.33</v>
      </c>
      <c r="G275" s="245" t="s">
        <v>163</v>
      </c>
      <c r="H275" s="21"/>
      <c r="I275" s="47"/>
      <c r="J275" s="265"/>
      <c r="K275" s="268"/>
      <c r="L275" s="258"/>
      <c r="M275" s="282"/>
      <c r="N275" s="22"/>
      <c r="O275" s="268"/>
      <c r="P275" s="23"/>
      <c r="Q275" s="268"/>
      <c r="R275" s="118"/>
    </row>
    <row r="276" spans="1:18" x14ac:dyDescent="0.35">
      <c r="A276" s="67" t="str">
        <f>IF(TRIM(G276)&lt;&gt;"",COUNTA(G$11:$G276)&amp;"","")</f>
        <v>184</v>
      </c>
      <c r="B276" s="311"/>
      <c r="C276" s="311"/>
      <c r="D276" s="30"/>
      <c r="E276" s="52" t="s">
        <v>476</v>
      </c>
      <c r="F276" s="69">
        <v>2</v>
      </c>
      <c r="G276" s="70" t="s">
        <v>211</v>
      </c>
      <c r="H276" s="21">
        <f t="shared" ref="H276:H280" si="429">IF(F276=0,"",0)</f>
        <v>0</v>
      </c>
      <c r="I276" s="47">
        <f t="shared" ref="I276:I280" si="430">IF(F276=0,"",F276+(F276*H276))</f>
        <v>2</v>
      </c>
      <c r="J276" s="265">
        <f>8.5*8</f>
        <v>68</v>
      </c>
      <c r="K276" s="268">
        <f t="shared" ref="K276:K280" si="431">IF(F276=0,"",J276*I276)</f>
        <v>136</v>
      </c>
      <c r="L276" s="258">
        <f t="shared" ref="L276:L280" si="432">IF(F276=0,"",L$231)</f>
        <v>52</v>
      </c>
      <c r="M276" s="282">
        <v>0.25</v>
      </c>
      <c r="N276" s="22">
        <f t="shared" ref="N276:N280" si="433">IF(F276=0,"",M276*I276)</f>
        <v>0.5</v>
      </c>
      <c r="O276" s="268">
        <f t="shared" ref="O276:O280" si="434">IF(F276=0,"",N276*L276)</f>
        <v>26</v>
      </c>
      <c r="P276" s="23">
        <f t="shared" ref="P276:P280" si="435">IF(F276=0,"",(K276+O276)/I276)</f>
        <v>81</v>
      </c>
      <c r="Q276" s="268">
        <f t="shared" ref="Q276:Q280" si="436">IF(F276=0,"",(P276*I276))</f>
        <v>162</v>
      </c>
      <c r="R276" s="118"/>
    </row>
    <row r="277" spans="1:18" x14ac:dyDescent="0.35">
      <c r="A277" s="67" t="str">
        <f>IF(TRIM(G277)&lt;&gt;"",COUNTA(G$11:$G277)&amp;"","")</f>
        <v>185</v>
      </c>
      <c r="B277" s="311"/>
      <c r="C277" s="311"/>
      <c r="D277" s="30"/>
      <c r="E277" s="52" t="s">
        <v>478</v>
      </c>
      <c r="F277" s="69">
        <v>4</v>
      </c>
      <c r="G277" s="70" t="s">
        <v>211</v>
      </c>
      <c r="H277" s="21">
        <f t="shared" si="429"/>
        <v>0</v>
      </c>
      <c r="I277" s="47">
        <f t="shared" si="430"/>
        <v>4</v>
      </c>
      <c r="J277" s="265">
        <f>8.5*10</f>
        <v>85</v>
      </c>
      <c r="K277" s="268">
        <f t="shared" si="431"/>
        <v>340</v>
      </c>
      <c r="L277" s="258">
        <f t="shared" si="432"/>
        <v>52</v>
      </c>
      <c r="M277" s="282">
        <v>0.3</v>
      </c>
      <c r="N277" s="22">
        <f t="shared" si="433"/>
        <v>1.2</v>
      </c>
      <c r="O277" s="268">
        <f t="shared" si="434"/>
        <v>62.4</v>
      </c>
      <c r="P277" s="23">
        <f t="shared" si="435"/>
        <v>100.6</v>
      </c>
      <c r="Q277" s="268">
        <f t="shared" si="436"/>
        <v>402.4</v>
      </c>
      <c r="R277" s="118"/>
    </row>
    <row r="278" spans="1:18" x14ac:dyDescent="0.35">
      <c r="A278" s="67" t="str">
        <f>IF(TRIM(G278)&lt;&gt;"",COUNTA(G$11:$G278)&amp;"","")</f>
        <v>186</v>
      </c>
      <c r="B278" s="311"/>
      <c r="C278" s="311"/>
      <c r="D278" s="30"/>
      <c r="E278" s="52" t="s">
        <v>477</v>
      </c>
      <c r="F278" s="69">
        <v>2</v>
      </c>
      <c r="G278" s="70" t="s">
        <v>211</v>
      </c>
      <c r="H278" s="21">
        <f t="shared" si="429"/>
        <v>0</v>
      </c>
      <c r="I278" s="47">
        <f t="shared" si="430"/>
        <v>2</v>
      </c>
      <c r="J278" s="265">
        <f>8.5*12</f>
        <v>102</v>
      </c>
      <c r="K278" s="268">
        <f t="shared" si="431"/>
        <v>204</v>
      </c>
      <c r="L278" s="258">
        <f t="shared" si="432"/>
        <v>52</v>
      </c>
      <c r="M278" s="282">
        <v>0.35</v>
      </c>
      <c r="N278" s="22">
        <f t="shared" si="433"/>
        <v>0.7</v>
      </c>
      <c r="O278" s="268">
        <f t="shared" si="434"/>
        <v>36.4</v>
      </c>
      <c r="P278" s="23">
        <f t="shared" si="435"/>
        <v>120.2</v>
      </c>
      <c r="Q278" s="268">
        <f t="shared" si="436"/>
        <v>240.4</v>
      </c>
      <c r="R278" s="118"/>
    </row>
    <row r="279" spans="1:18" x14ac:dyDescent="0.35">
      <c r="A279" s="67" t="str">
        <f>IF(TRIM(G279)&lt;&gt;"",COUNTA(G$11:$G279)&amp;"","")</f>
        <v>187</v>
      </c>
      <c r="B279" s="311"/>
      <c r="C279" s="311"/>
      <c r="D279" s="30"/>
      <c r="E279" s="52" t="s">
        <v>479</v>
      </c>
      <c r="F279" s="69">
        <v>6</v>
      </c>
      <c r="G279" s="70" t="s">
        <v>211</v>
      </c>
      <c r="H279" s="21">
        <f t="shared" si="429"/>
        <v>0</v>
      </c>
      <c r="I279" s="47">
        <f t="shared" si="430"/>
        <v>6</v>
      </c>
      <c r="J279" s="265">
        <f>8.5*14</f>
        <v>119</v>
      </c>
      <c r="K279" s="268">
        <f t="shared" si="431"/>
        <v>714</v>
      </c>
      <c r="L279" s="258">
        <f t="shared" si="432"/>
        <v>52</v>
      </c>
      <c r="M279" s="282">
        <v>0.4</v>
      </c>
      <c r="N279" s="22">
        <f t="shared" si="433"/>
        <v>2.4000000000000004</v>
      </c>
      <c r="O279" s="268">
        <f t="shared" si="434"/>
        <v>124.80000000000001</v>
      </c>
      <c r="P279" s="23">
        <f t="shared" si="435"/>
        <v>139.79999999999998</v>
      </c>
      <c r="Q279" s="268">
        <f t="shared" si="436"/>
        <v>838.8</v>
      </c>
      <c r="R279" s="118"/>
    </row>
    <row r="280" spans="1:18" x14ac:dyDescent="0.35">
      <c r="A280" s="67" t="str">
        <f>IF(TRIM(G280)&lt;&gt;"",COUNTA(G$11:$G280)&amp;"","")</f>
        <v>188</v>
      </c>
      <c r="B280" s="311"/>
      <c r="C280" s="311"/>
      <c r="D280" s="30"/>
      <c r="E280" s="52" t="s">
        <v>480</v>
      </c>
      <c r="F280" s="69">
        <v>4</v>
      </c>
      <c r="G280" s="70" t="s">
        <v>211</v>
      </c>
      <c r="H280" s="21">
        <f t="shared" si="429"/>
        <v>0</v>
      </c>
      <c r="I280" s="47">
        <f t="shared" si="430"/>
        <v>4</v>
      </c>
      <c r="J280" s="265">
        <f>8.5*24</f>
        <v>204</v>
      </c>
      <c r="K280" s="268">
        <f t="shared" si="431"/>
        <v>816</v>
      </c>
      <c r="L280" s="258">
        <f t="shared" si="432"/>
        <v>52</v>
      </c>
      <c r="M280" s="282">
        <v>0.65</v>
      </c>
      <c r="N280" s="22">
        <f t="shared" si="433"/>
        <v>2.6</v>
      </c>
      <c r="O280" s="268">
        <f t="shared" si="434"/>
        <v>135.20000000000002</v>
      </c>
      <c r="P280" s="23">
        <f t="shared" si="435"/>
        <v>237.8</v>
      </c>
      <c r="Q280" s="268">
        <f t="shared" si="436"/>
        <v>951.2</v>
      </c>
      <c r="R280" s="118"/>
    </row>
    <row r="281" spans="1:18" x14ac:dyDescent="0.35">
      <c r="A281" s="67" t="str">
        <f>IF(TRIM(G281)&lt;&gt;"",COUNTA(G$11:$G281)&amp;"","")</f>
        <v/>
      </c>
      <c r="B281" s="311"/>
      <c r="C281" s="311"/>
      <c r="D281" s="30"/>
      <c r="E281" s="52"/>
      <c r="F281" s="69"/>
      <c r="G281" s="70"/>
      <c r="H281" s="21"/>
      <c r="I281" s="47"/>
      <c r="J281" s="265"/>
      <c r="K281" s="268"/>
      <c r="L281" s="258"/>
      <c r="M281" s="282"/>
      <c r="N281" s="22"/>
      <c r="O281" s="268"/>
      <c r="P281" s="23"/>
      <c r="Q281" s="268"/>
      <c r="R281" s="118"/>
    </row>
    <row r="282" spans="1:18" x14ac:dyDescent="0.35">
      <c r="A282" s="67" t="str">
        <f>IF(TRIM(G282)&lt;&gt;"",COUNTA(G$11:$G282)&amp;"","")</f>
        <v/>
      </c>
      <c r="B282" s="311"/>
      <c r="C282" s="311"/>
      <c r="D282" s="30"/>
      <c r="E282" s="240" t="s">
        <v>482</v>
      </c>
      <c r="F282" s="69"/>
      <c r="G282" s="70"/>
      <c r="H282" s="21"/>
      <c r="I282" s="47"/>
      <c r="J282" s="265"/>
      <c r="K282" s="268"/>
      <c r="L282" s="258"/>
      <c r="M282" s="282"/>
      <c r="N282" s="22"/>
      <c r="O282" s="268"/>
      <c r="P282" s="23"/>
      <c r="Q282" s="268"/>
      <c r="R282" s="118"/>
    </row>
    <row r="283" spans="1:18" ht="15" x14ac:dyDescent="0.35">
      <c r="A283" s="67" t="str">
        <f>IF(TRIM(G283)&lt;&gt;"",COUNTA(G$11:$G283)&amp;"","")</f>
        <v>189</v>
      </c>
      <c r="B283" s="311"/>
      <c r="C283" s="311"/>
      <c r="D283" s="30"/>
      <c r="E283" s="252" t="s">
        <v>485</v>
      </c>
      <c r="F283" s="253">
        <f>F275*2</f>
        <v>1018.66</v>
      </c>
      <c r="G283" s="245" t="s">
        <v>163</v>
      </c>
      <c r="H283" s="21"/>
      <c r="I283" s="47"/>
      <c r="J283" s="265"/>
      <c r="K283" s="268"/>
      <c r="L283" s="258"/>
      <c r="M283" s="282"/>
      <c r="N283" s="22"/>
      <c r="O283" s="268"/>
      <c r="P283" s="23"/>
      <c r="Q283" s="268"/>
      <c r="R283" s="118"/>
    </row>
    <row r="284" spans="1:18" ht="15.5" x14ac:dyDescent="0.35">
      <c r="A284" s="67" t="str">
        <f>IF(TRIM(G284)&lt;&gt;"",COUNTA(G$11:$G284)&amp;"","")</f>
        <v>190</v>
      </c>
      <c r="B284" s="311"/>
      <c r="C284" s="311"/>
      <c r="D284" s="30"/>
      <c r="E284" s="254" t="s">
        <v>483</v>
      </c>
      <c r="F284" s="255">
        <f>ROUNDUP(F283/32,0)</f>
        <v>32</v>
      </c>
      <c r="G284" s="70" t="s">
        <v>211</v>
      </c>
      <c r="H284" s="21">
        <f t="shared" ref="H284:H285" si="437">IF(F284=0,"",0)</f>
        <v>0</v>
      </c>
      <c r="I284" s="47">
        <f t="shared" ref="I284:I285" si="438">IF(F284=0,"",F284+(F284*H284))</f>
        <v>32</v>
      </c>
      <c r="J284" s="265">
        <v>35</v>
      </c>
      <c r="K284" s="268">
        <f t="shared" ref="K284:K285" si="439">IF(F284=0,"",J284*I284)</f>
        <v>1120</v>
      </c>
      <c r="L284" s="258">
        <f t="shared" ref="L284:L285" si="440">IF(F284=0,"",L$231)</f>
        <v>52</v>
      </c>
      <c r="M284" s="282">
        <f>0.016*32</f>
        <v>0.51200000000000001</v>
      </c>
      <c r="N284" s="22">
        <f t="shared" ref="N284:N285" si="441">IF(F284=0,"",M284*I284)</f>
        <v>16.384</v>
      </c>
      <c r="O284" s="268">
        <f t="shared" ref="O284:O285" si="442">IF(F284=0,"",N284*L284)</f>
        <v>851.96800000000007</v>
      </c>
      <c r="P284" s="23">
        <f t="shared" ref="P284:P285" si="443">IF(F284=0,"",(K284+O284)/I284)</f>
        <v>61.624000000000002</v>
      </c>
      <c r="Q284" s="268">
        <f t="shared" ref="Q284:Q285" si="444">IF(F284=0,"",(P284*I284))</f>
        <v>1971.9680000000001</v>
      </c>
      <c r="R284" s="118"/>
    </row>
    <row r="285" spans="1:18" ht="15.5" x14ac:dyDescent="0.35">
      <c r="A285" s="67" t="str">
        <f>IF(TRIM(G285)&lt;&gt;"",COUNTA(G$11:$G285)&amp;"","")</f>
        <v>191</v>
      </c>
      <c r="B285" s="311"/>
      <c r="C285" s="311"/>
      <c r="D285" s="30"/>
      <c r="E285" s="254" t="s">
        <v>484</v>
      </c>
      <c r="F285" s="255">
        <f>F284*75</f>
        <v>2400</v>
      </c>
      <c r="G285" s="70" t="s">
        <v>211</v>
      </c>
      <c r="H285" s="21">
        <f t="shared" si="437"/>
        <v>0</v>
      </c>
      <c r="I285" s="47">
        <f t="shared" si="438"/>
        <v>2400</v>
      </c>
      <c r="J285" s="265">
        <v>0.02</v>
      </c>
      <c r="K285" s="268">
        <f t="shared" si="439"/>
        <v>48</v>
      </c>
      <c r="L285" s="258">
        <f t="shared" si="440"/>
        <v>52</v>
      </c>
      <c r="M285" s="282">
        <v>1E-3</v>
      </c>
      <c r="N285" s="22">
        <f t="shared" si="441"/>
        <v>2.4</v>
      </c>
      <c r="O285" s="268">
        <f t="shared" si="442"/>
        <v>124.8</v>
      </c>
      <c r="P285" s="23">
        <f t="shared" si="443"/>
        <v>7.2000000000000008E-2</v>
      </c>
      <c r="Q285" s="268">
        <f t="shared" si="444"/>
        <v>172.8</v>
      </c>
      <c r="R285" s="118"/>
    </row>
    <row r="286" spans="1:18" x14ac:dyDescent="0.35">
      <c r="A286" s="67" t="str">
        <f>IF(TRIM(G286)&lt;&gt;"",COUNTA(G$11:$G286)&amp;"","")</f>
        <v/>
      </c>
      <c r="B286" s="311"/>
      <c r="C286" s="311"/>
      <c r="D286" s="30"/>
      <c r="E286" s="52"/>
      <c r="F286" s="69"/>
      <c r="G286" s="70"/>
      <c r="H286" s="21"/>
      <c r="I286" s="47"/>
      <c r="J286" s="265"/>
      <c r="K286" s="268"/>
      <c r="L286" s="258"/>
      <c r="M286" s="282"/>
      <c r="N286" s="22"/>
      <c r="O286" s="268"/>
      <c r="P286" s="23"/>
      <c r="Q286" s="268"/>
      <c r="R286" s="118"/>
    </row>
    <row r="287" spans="1:18" x14ac:dyDescent="0.35">
      <c r="A287" s="67" t="str">
        <f>IF(TRIM(G287)&lt;&gt;"",COUNTA(G$11:$G287)&amp;"","")</f>
        <v/>
      </c>
      <c r="B287" s="311"/>
      <c r="C287" s="311"/>
      <c r="D287" s="30"/>
      <c r="E287" s="240" t="s">
        <v>481</v>
      </c>
      <c r="F287" s="69"/>
      <c r="G287" s="70"/>
      <c r="H287" s="21"/>
      <c r="I287" s="47"/>
      <c r="J287" s="265"/>
      <c r="K287" s="268"/>
      <c r="L287" s="258"/>
      <c r="M287" s="282"/>
      <c r="N287" s="22"/>
      <c r="O287" s="268"/>
      <c r="P287" s="23"/>
      <c r="Q287" s="268"/>
      <c r="R287" s="118"/>
    </row>
    <row r="288" spans="1:18" x14ac:dyDescent="0.35">
      <c r="A288" s="67" t="str">
        <f>IF(TRIM(G288)&lt;&gt;"",COUNTA(G$11:$G288)&amp;"","")</f>
        <v>192</v>
      </c>
      <c r="B288" s="311"/>
      <c r="C288" s="311"/>
      <c r="D288" s="30"/>
      <c r="E288" s="244" t="s">
        <v>486</v>
      </c>
      <c r="F288" s="239">
        <v>264.48</v>
      </c>
      <c r="G288" s="245" t="s">
        <v>163</v>
      </c>
      <c r="H288" s="21"/>
      <c r="I288" s="47"/>
      <c r="J288" s="265"/>
      <c r="K288" s="268"/>
      <c r="L288" s="258"/>
      <c r="M288" s="282"/>
      <c r="N288" s="22"/>
      <c r="O288" s="268"/>
      <c r="P288" s="23"/>
      <c r="Q288" s="268"/>
      <c r="R288" s="118"/>
    </row>
    <row r="289" spans="1:18" x14ac:dyDescent="0.35">
      <c r="A289" s="67" t="str">
        <f>IF(TRIM(G289)&lt;&gt;"",COUNTA(G$11:$G289)&amp;"","")</f>
        <v>193</v>
      </c>
      <c r="B289" s="311"/>
      <c r="C289" s="311"/>
      <c r="D289" s="30"/>
      <c r="E289" s="52" t="s">
        <v>487</v>
      </c>
      <c r="F289" s="69">
        <v>2</v>
      </c>
      <c r="G289" s="70" t="s">
        <v>211</v>
      </c>
      <c r="H289" s="21">
        <f t="shared" ref="H289:H290" si="445">IF(F289=0,"",0)</f>
        <v>0</v>
      </c>
      <c r="I289" s="47">
        <f t="shared" ref="I289:I290" si="446">IF(F289=0,"",F289+(F289*H289))</f>
        <v>2</v>
      </c>
      <c r="J289" s="265">
        <v>22</v>
      </c>
      <c r="K289" s="268">
        <f t="shared" ref="K289:K290" si="447">IF(F289=0,"",J289*I289)</f>
        <v>44</v>
      </c>
      <c r="L289" s="258">
        <f t="shared" ref="L289:L290" si="448">IF(F289=0,"",L$231)</f>
        <v>52</v>
      </c>
      <c r="M289" s="282">
        <v>0.05</v>
      </c>
      <c r="N289" s="22">
        <f t="shared" ref="N289:N290" si="449">IF(F289=0,"",M289*I289)</f>
        <v>0.1</v>
      </c>
      <c r="O289" s="268">
        <f t="shared" ref="O289:O290" si="450">IF(F289=0,"",N289*L289)</f>
        <v>5.2</v>
      </c>
      <c r="P289" s="23">
        <f t="shared" ref="P289:P290" si="451">IF(F289=0,"",(K289+O289)/I289)</f>
        <v>24.6</v>
      </c>
      <c r="Q289" s="268">
        <f t="shared" ref="Q289:Q290" si="452">IF(F289=0,"",(P289*I289))</f>
        <v>49.2</v>
      </c>
      <c r="R289" s="118"/>
    </row>
    <row r="290" spans="1:18" x14ac:dyDescent="0.35">
      <c r="A290" s="67" t="str">
        <f>IF(TRIM(G290)&lt;&gt;"",COUNTA(G$11:$G290)&amp;"","")</f>
        <v>194</v>
      </c>
      <c r="B290" s="311"/>
      <c r="C290" s="311"/>
      <c r="D290" s="30"/>
      <c r="E290" s="52" t="s">
        <v>488</v>
      </c>
      <c r="F290" s="69">
        <v>18</v>
      </c>
      <c r="G290" s="70" t="s">
        <v>211</v>
      </c>
      <c r="H290" s="21">
        <f t="shared" si="445"/>
        <v>0</v>
      </c>
      <c r="I290" s="47">
        <f t="shared" si="446"/>
        <v>18</v>
      </c>
      <c r="J290" s="265">
        <v>28</v>
      </c>
      <c r="K290" s="268">
        <f t="shared" si="447"/>
        <v>504</v>
      </c>
      <c r="L290" s="258">
        <f t="shared" si="448"/>
        <v>52</v>
      </c>
      <c r="M290" s="282">
        <v>0.08</v>
      </c>
      <c r="N290" s="22">
        <f t="shared" si="449"/>
        <v>1.44</v>
      </c>
      <c r="O290" s="268">
        <f t="shared" si="450"/>
        <v>74.88</v>
      </c>
      <c r="P290" s="23">
        <f t="shared" si="451"/>
        <v>32.159999999999997</v>
      </c>
      <c r="Q290" s="268">
        <f t="shared" si="452"/>
        <v>578.87999999999988</v>
      </c>
      <c r="R290" s="118"/>
    </row>
    <row r="291" spans="1:18" x14ac:dyDescent="0.35">
      <c r="A291" s="67" t="str">
        <f>IF(TRIM(G291)&lt;&gt;"",COUNTA(G$11:$G291)&amp;"","")</f>
        <v/>
      </c>
      <c r="B291" s="311"/>
      <c r="C291" s="311"/>
      <c r="D291" s="30"/>
      <c r="E291" s="52"/>
      <c r="F291" s="69"/>
      <c r="G291" s="70"/>
      <c r="H291" s="21"/>
      <c r="I291" s="47"/>
      <c r="J291" s="265"/>
      <c r="K291" s="268"/>
      <c r="L291" s="258"/>
      <c r="M291" s="282"/>
      <c r="N291" s="22"/>
      <c r="O291" s="268"/>
      <c r="P291" s="23"/>
      <c r="Q291" s="268"/>
      <c r="R291" s="118"/>
    </row>
    <row r="292" spans="1:18" x14ac:dyDescent="0.35">
      <c r="A292" s="67" t="str">
        <f>IF(TRIM(G292)&lt;&gt;"",COUNTA(G$11:$G292)&amp;"","")</f>
        <v>195</v>
      </c>
      <c r="B292" s="311"/>
      <c r="C292" s="311"/>
      <c r="D292" s="30"/>
      <c r="E292" s="244" t="s">
        <v>489</v>
      </c>
      <c r="F292" s="239">
        <v>140</v>
      </c>
      <c r="G292" s="245" t="s">
        <v>163</v>
      </c>
      <c r="H292" s="21"/>
      <c r="I292" s="47"/>
      <c r="J292" s="265"/>
      <c r="K292" s="268"/>
      <c r="L292" s="258"/>
      <c r="M292" s="282"/>
      <c r="N292" s="22"/>
      <c r="O292" s="268"/>
      <c r="P292" s="23"/>
      <c r="Q292" s="268"/>
      <c r="R292" s="118"/>
    </row>
    <row r="293" spans="1:18" x14ac:dyDescent="0.35">
      <c r="A293" s="67" t="str">
        <f>IF(TRIM(G293)&lt;&gt;"",COUNTA(G$11:$G293)&amp;"","")</f>
        <v>196</v>
      </c>
      <c r="B293" s="311"/>
      <c r="C293" s="311"/>
      <c r="D293" s="30"/>
      <c r="E293" s="52" t="s">
        <v>490</v>
      </c>
      <c r="F293" s="69">
        <v>4</v>
      </c>
      <c r="G293" s="70" t="s">
        <v>211</v>
      </c>
      <c r="H293" s="21">
        <f t="shared" ref="H293:H295" si="453">IF(F293=0,"",0)</f>
        <v>0</v>
      </c>
      <c r="I293" s="47">
        <f t="shared" ref="I293:I295" si="454">IF(F293=0,"",F293+(F293*H293))</f>
        <v>4</v>
      </c>
      <c r="J293" s="265">
        <v>15</v>
      </c>
      <c r="K293" s="268">
        <f t="shared" ref="K293:K295" si="455">IF(F293=0,"",J293*I293)</f>
        <v>60</v>
      </c>
      <c r="L293" s="258">
        <f t="shared" ref="L293:L295" si="456">IF(F293=0,"",L$231)</f>
        <v>52</v>
      </c>
      <c r="M293" s="282">
        <v>0.05</v>
      </c>
      <c r="N293" s="22">
        <f t="shared" ref="N293:N295" si="457">IF(F293=0,"",M293*I293)</f>
        <v>0.2</v>
      </c>
      <c r="O293" s="268">
        <f t="shared" ref="O293:O295" si="458">IF(F293=0,"",N293*L293)</f>
        <v>10.4</v>
      </c>
      <c r="P293" s="23">
        <f t="shared" ref="P293:P295" si="459">IF(F293=0,"",(K293+O293)/I293)</f>
        <v>17.600000000000001</v>
      </c>
      <c r="Q293" s="268">
        <f t="shared" ref="Q293:Q295" si="460">IF(F293=0,"",(P293*I293))</f>
        <v>70.400000000000006</v>
      </c>
      <c r="R293" s="118"/>
    </row>
    <row r="294" spans="1:18" x14ac:dyDescent="0.35">
      <c r="A294" s="67" t="str">
        <f>IF(TRIM(G294)&lt;&gt;"",COUNTA(G$11:$G294)&amp;"","")</f>
        <v>197</v>
      </c>
      <c r="B294" s="311"/>
      <c r="C294" s="311"/>
      <c r="D294" s="30"/>
      <c r="E294" s="52" t="s">
        <v>491</v>
      </c>
      <c r="F294" s="69">
        <v>6</v>
      </c>
      <c r="G294" s="70" t="s">
        <v>211</v>
      </c>
      <c r="H294" s="21">
        <f t="shared" si="453"/>
        <v>0</v>
      </c>
      <c r="I294" s="47">
        <f t="shared" si="454"/>
        <v>6</v>
      </c>
      <c r="J294" s="265">
        <v>19</v>
      </c>
      <c r="K294" s="268">
        <f t="shared" si="455"/>
        <v>114</v>
      </c>
      <c r="L294" s="258">
        <f t="shared" si="456"/>
        <v>52</v>
      </c>
      <c r="M294" s="282">
        <v>0.08</v>
      </c>
      <c r="N294" s="22">
        <f t="shared" si="457"/>
        <v>0.48</v>
      </c>
      <c r="O294" s="268">
        <f t="shared" si="458"/>
        <v>24.96</v>
      </c>
      <c r="P294" s="23">
        <f t="shared" si="459"/>
        <v>23.16</v>
      </c>
      <c r="Q294" s="268">
        <f t="shared" si="460"/>
        <v>138.96</v>
      </c>
      <c r="R294" s="118"/>
    </row>
    <row r="295" spans="1:18" x14ac:dyDescent="0.35">
      <c r="A295" s="67" t="str">
        <f>IF(TRIM(G295)&lt;&gt;"",COUNTA(G$11:$G295)&amp;"","")</f>
        <v>198</v>
      </c>
      <c r="B295" s="311"/>
      <c r="C295" s="311"/>
      <c r="D295" s="30"/>
      <c r="E295" s="52" t="s">
        <v>492</v>
      </c>
      <c r="F295" s="69">
        <v>1</v>
      </c>
      <c r="G295" s="70" t="s">
        <v>211</v>
      </c>
      <c r="H295" s="21">
        <f t="shared" si="453"/>
        <v>0</v>
      </c>
      <c r="I295" s="47">
        <f t="shared" si="454"/>
        <v>1</v>
      </c>
      <c r="J295" s="265">
        <v>40</v>
      </c>
      <c r="K295" s="268">
        <f t="shared" si="455"/>
        <v>40</v>
      </c>
      <c r="L295" s="258">
        <f t="shared" si="456"/>
        <v>52</v>
      </c>
      <c r="M295" s="282">
        <v>0.15</v>
      </c>
      <c r="N295" s="22">
        <f t="shared" si="457"/>
        <v>0.15</v>
      </c>
      <c r="O295" s="268">
        <f t="shared" si="458"/>
        <v>7.8</v>
      </c>
      <c r="P295" s="23">
        <f t="shared" si="459"/>
        <v>47.8</v>
      </c>
      <c r="Q295" s="268">
        <f t="shared" si="460"/>
        <v>47.8</v>
      </c>
      <c r="R295" s="118"/>
    </row>
    <row r="296" spans="1:18" x14ac:dyDescent="0.35">
      <c r="A296" s="67" t="str">
        <f>IF(TRIM(G296)&lt;&gt;"",COUNTA(G$11:$G296)&amp;"","")</f>
        <v/>
      </c>
      <c r="B296" s="311"/>
      <c r="C296" s="311"/>
      <c r="D296" s="30"/>
      <c r="E296" s="52"/>
      <c r="F296" s="69"/>
      <c r="G296" s="70"/>
      <c r="H296" s="21"/>
      <c r="I296" s="47"/>
      <c r="J296" s="265"/>
      <c r="K296" s="268"/>
      <c r="L296" s="258"/>
      <c r="M296" s="282"/>
      <c r="N296" s="22"/>
      <c r="O296" s="268"/>
      <c r="P296" s="23"/>
      <c r="Q296" s="268"/>
      <c r="R296" s="118"/>
    </row>
    <row r="297" spans="1:18" x14ac:dyDescent="0.35">
      <c r="A297" s="67" t="str">
        <f>IF(TRIM(G297)&lt;&gt;"",COUNTA(G$11:$G297)&amp;"","")</f>
        <v/>
      </c>
      <c r="B297" s="311"/>
      <c r="C297" s="311"/>
      <c r="D297" s="30"/>
      <c r="E297" s="240" t="s">
        <v>495</v>
      </c>
      <c r="F297" s="69"/>
      <c r="G297" s="70"/>
      <c r="H297" s="21"/>
      <c r="I297" s="47"/>
      <c r="J297" s="265"/>
      <c r="K297" s="268"/>
      <c r="L297" s="258"/>
      <c r="M297" s="282"/>
      <c r="N297" s="22"/>
      <c r="O297" s="268"/>
      <c r="P297" s="23"/>
      <c r="Q297" s="268"/>
      <c r="R297" s="118"/>
    </row>
    <row r="298" spans="1:18" ht="15" x14ac:dyDescent="0.35">
      <c r="A298" s="67" t="str">
        <f>IF(TRIM(G298)&lt;&gt;"",COUNTA(G$11:$G298)&amp;"","")</f>
        <v>199</v>
      </c>
      <c r="B298" s="311"/>
      <c r="C298" s="311"/>
      <c r="D298" s="30"/>
      <c r="E298" s="252" t="s">
        <v>320</v>
      </c>
      <c r="F298" s="253">
        <f>325*1.25</f>
        <v>406.25</v>
      </c>
      <c r="G298" s="245" t="s">
        <v>163</v>
      </c>
      <c r="H298" s="21"/>
      <c r="I298" s="47"/>
      <c r="J298" s="265"/>
      <c r="K298" s="268"/>
      <c r="L298" s="258"/>
      <c r="M298" s="282"/>
      <c r="N298" s="22"/>
      <c r="O298" s="268"/>
      <c r="P298" s="23"/>
      <c r="Q298" s="268"/>
      <c r="R298" s="118"/>
    </row>
    <row r="299" spans="1:18" ht="15.5" x14ac:dyDescent="0.35">
      <c r="A299" s="67" t="str">
        <f>IF(TRIM(G299)&lt;&gt;"",COUNTA(G$11:$G299)&amp;"","")</f>
        <v>200</v>
      </c>
      <c r="B299" s="311"/>
      <c r="C299" s="311"/>
      <c r="D299" s="30"/>
      <c r="E299" s="254" t="s">
        <v>483</v>
      </c>
      <c r="F299" s="255">
        <f>ROUNDUP(F298/32,0)</f>
        <v>13</v>
      </c>
      <c r="G299" s="70" t="s">
        <v>211</v>
      </c>
      <c r="H299" s="21">
        <f t="shared" ref="H299:H300" si="461">IF(F299=0,"",0)</f>
        <v>0</v>
      </c>
      <c r="I299" s="47">
        <f t="shared" ref="I299:I300" si="462">IF(F299=0,"",F299+(F299*H299))</f>
        <v>13</v>
      </c>
      <c r="J299" s="265">
        <v>25</v>
      </c>
      <c r="K299" s="268">
        <f t="shared" ref="K299:K300" si="463">IF(F299=0,"",J299*I299)</f>
        <v>325</v>
      </c>
      <c r="L299" s="258">
        <f t="shared" ref="L299:L300" si="464">IF(F299=0,"",L$231)</f>
        <v>52</v>
      </c>
      <c r="M299" s="282">
        <f>0.014*32</f>
        <v>0.44800000000000001</v>
      </c>
      <c r="N299" s="22">
        <f t="shared" ref="N299:N300" si="465">IF(F299=0,"",M299*I299)</f>
        <v>5.8239999999999998</v>
      </c>
      <c r="O299" s="268">
        <f t="shared" ref="O299:O300" si="466">IF(F299=0,"",N299*L299)</f>
        <v>302.84800000000001</v>
      </c>
      <c r="P299" s="23">
        <f t="shared" ref="P299:P300" si="467">IF(F299=0,"",(K299+O299)/I299)</f>
        <v>48.295999999999999</v>
      </c>
      <c r="Q299" s="268">
        <f t="shared" ref="Q299:Q300" si="468">IF(F299=0,"",(P299*I299))</f>
        <v>627.84799999999996</v>
      </c>
      <c r="R299" s="118"/>
    </row>
    <row r="300" spans="1:18" ht="15.5" x14ac:dyDescent="0.35">
      <c r="A300" s="67" t="str">
        <f>IF(TRIM(G300)&lt;&gt;"",COUNTA(G$11:$G300)&amp;"","")</f>
        <v>201</v>
      </c>
      <c r="B300" s="311"/>
      <c r="C300" s="311"/>
      <c r="D300" s="30"/>
      <c r="E300" s="254" t="s">
        <v>484</v>
      </c>
      <c r="F300" s="255">
        <f>F299*75</f>
        <v>975</v>
      </c>
      <c r="G300" s="70" t="s">
        <v>211</v>
      </c>
      <c r="H300" s="21">
        <f t="shared" si="461"/>
        <v>0</v>
      </c>
      <c r="I300" s="47">
        <f t="shared" si="462"/>
        <v>975</v>
      </c>
      <c r="J300" s="265">
        <v>0.02</v>
      </c>
      <c r="K300" s="268">
        <f t="shared" si="463"/>
        <v>19.5</v>
      </c>
      <c r="L300" s="258">
        <f t="shared" si="464"/>
        <v>52</v>
      </c>
      <c r="M300" s="282">
        <v>1E-3</v>
      </c>
      <c r="N300" s="22">
        <f t="shared" si="465"/>
        <v>0.97499999999999998</v>
      </c>
      <c r="O300" s="268">
        <f t="shared" si="466"/>
        <v>50.699999999999996</v>
      </c>
      <c r="P300" s="23">
        <f t="shared" si="467"/>
        <v>7.1999999999999995E-2</v>
      </c>
      <c r="Q300" s="268">
        <f t="shared" si="468"/>
        <v>70.199999999999989</v>
      </c>
      <c r="R300" s="118"/>
    </row>
    <row r="301" spans="1:18" x14ac:dyDescent="0.35">
      <c r="A301" s="67" t="str">
        <f>IF(TRIM(G301)&lt;&gt;"",COUNTA(G$11:$G301)&amp;"","")</f>
        <v/>
      </c>
      <c r="B301" s="311"/>
      <c r="C301" s="311"/>
      <c r="D301" s="30"/>
      <c r="E301" s="52"/>
      <c r="F301" s="69"/>
      <c r="G301" s="70"/>
      <c r="H301" s="21"/>
      <c r="I301" s="47"/>
      <c r="J301" s="265"/>
      <c r="K301" s="268"/>
      <c r="L301" s="258"/>
      <c r="M301" s="282"/>
      <c r="N301" s="22"/>
      <c r="O301" s="268"/>
      <c r="P301" s="23"/>
      <c r="Q301" s="268"/>
      <c r="R301" s="118"/>
    </row>
    <row r="302" spans="1:18" x14ac:dyDescent="0.35">
      <c r="A302" s="67" t="str">
        <f>IF(TRIM(G302)&lt;&gt;"",COUNTA(G$11:$G302)&amp;"","")</f>
        <v/>
      </c>
      <c r="B302" s="311"/>
      <c r="C302" s="311"/>
      <c r="D302" s="30"/>
      <c r="E302" s="240" t="s">
        <v>493</v>
      </c>
      <c r="F302" s="69"/>
      <c r="G302" s="70"/>
      <c r="H302" s="21"/>
      <c r="I302" s="47"/>
      <c r="J302" s="265"/>
      <c r="K302" s="268"/>
      <c r="L302" s="258"/>
      <c r="M302" s="282"/>
      <c r="N302" s="22"/>
      <c r="O302" s="268"/>
      <c r="P302" s="23"/>
      <c r="Q302" s="268"/>
      <c r="R302" s="118"/>
    </row>
    <row r="303" spans="1:18" x14ac:dyDescent="0.35">
      <c r="A303" s="67" t="str">
        <f>IF(TRIM(G303)&lt;&gt;"",COUNTA(G$11:$G303)&amp;"","")</f>
        <v>202</v>
      </c>
      <c r="B303" s="311"/>
      <c r="C303" s="311"/>
      <c r="D303" s="30"/>
      <c r="E303" s="52" t="s">
        <v>496</v>
      </c>
      <c r="F303" s="69">
        <f>324.88-70</f>
        <v>254.88</v>
      </c>
      <c r="G303" s="70" t="s">
        <v>163</v>
      </c>
      <c r="H303" s="21">
        <f t="shared" ref="H303:H304" si="469">IF(F303=0,"",0)</f>
        <v>0</v>
      </c>
      <c r="I303" s="47">
        <f t="shared" ref="I303:I304" si="470">IF(F303=0,"",F303+(F303*H303))</f>
        <v>254.88</v>
      </c>
      <c r="J303" s="265">
        <v>3.5</v>
      </c>
      <c r="K303" s="268">
        <f t="shared" ref="K303:K304" si="471">IF(F303=0,"",J303*I303)</f>
        <v>892.07999999999993</v>
      </c>
      <c r="L303" s="258">
        <f t="shared" ref="L303:L304" si="472">IF(F303=0,"",L$231)</f>
        <v>52</v>
      </c>
      <c r="M303" s="282">
        <v>3.5999999999999997E-2</v>
      </c>
      <c r="N303" s="22">
        <f t="shared" ref="N303:N304" si="473">IF(F303=0,"",M303*I303)</f>
        <v>9.1756799999999998</v>
      </c>
      <c r="O303" s="268">
        <f t="shared" ref="O303:O304" si="474">IF(F303=0,"",N303*L303)</f>
        <v>477.13535999999999</v>
      </c>
      <c r="P303" s="23">
        <f t="shared" ref="P303:P304" si="475">IF(F303=0,"",(K303+O303)/I303)</f>
        <v>5.3719999999999999</v>
      </c>
      <c r="Q303" s="268">
        <f t="shared" ref="Q303:Q304" si="476">IF(F303=0,"",(P303*I303))</f>
        <v>1369.2153599999999</v>
      </c>
      <c r="R303" s="118"/>
    </row>
    <row r="304" spans="1:18" x14ac:dyDescent="0.35">
      <c r="A304" s="67" t="str">
        <f>IF(TRIM(G304)&lt;&gt;"",COUNTA(G$11:$G304)&amp;"","")</f>
        <v>203</v>
      </c>
      <c r="B304" s="311"/>
      <c r="C304" s="311"/>
      <c r="D304" s="30"/>
      <c r="E304" s="52" t="s">
        <v>494</v>
      </c>
      <c r="F304" s="69">
        <v>20.98</v>
      </c>
      <c r="G304" s="70" t="s">
        <v>163</v>
      </c>
      <c r="H304" s="21">
        <f t="shared" si="469"/>
        <v>0</v>
      </c>
      <c r="I304" s="47">
        <f t="shared" si="470"/>
        <v>20.98</v>
      </c>
      <c r="J304" s="265">
        <v>5</v>
      </c>
      <c r="K304" s="268">
        <f t="shared" si="471"/>
        <v>104.9</v>
      </c>
      <c r="L304" s="258">
        <f t="shared" si="472"/>
        <v>52</v>
      </c>
      <c r="M304" s="282">
        <v>4.2000000000000003E-2</v>
      </c>
      <c r="N304" s="22">
        <f t="shared" si="473"/>
        <v>0.88116000000000005</v>
      </c>
      <c r="O304" s="268">
        <f t="shared" si="474"/>
        <v>45.820320000000002</v>
      </c>
      <c r="P304" s="23">
        <f t="shared" si="475"/>
        <v>7.1840000000000002</v>
      </c>
      <c r="Q304" s="268">
        <f t="shared" si="476"/>
        <v>150.72032000000002</v>
      </c>
      <c r="R304" s="118"/>
    </row>
    <row r="305" spans="1:18" x14ac:dyDescent="0.35">
      <c r="A305" s="67" t="str">
        <f>IF(TRIM(G305)&lt;&gt;"",COUNTA(G$11:$G305)&amp;"","")</f>
        <v/>
      </c>
      <c r="B305" s="311"/>
      <c r="C305" s="311"/>
      <c r="D305" s="30"/>
      <c r="E305" s="52"/>
      <c r="F305" s="69"/>
      <c r="G305" s="70"/>
      <c r="H305" s="21"/>
      <c r="I305" s="47"/>
      <c r="J305" s="265"/>
      <c r="K305" s="268"/>
      <c r="L305" s="258"/>
      <c r="M305" s="282"/>
      <c r="N305" s="22"/>
      <c r="O305" s="268"/>
      <c r="P305" s="23"/>
      <c r="Q305" s="268"/>
      <c r="R305" s="118"/>
    </row>
    <row r="306" spans="1:18" x14ac:dyDescent="0.35">
      <c r="A306" s="67" t="str">
        <f>IF(TRIM(G306)&lt;&gt;"",COUNTA(G$11:$G306)&amp;"","")</f>
        <v/>
      </c>
      <c r="B306" s="311"/>
      <c r="C306" s="311"/>
      <c r="D306" s="30"/>
      <c r="E306" s="240" t="s">
        <v>497</v>
      </c>
      <c r="F306" s="69"/>
      <c r="G306" s="70"/>
      <c r="H306" s="21"/>
      <c r="I306" s="47"/>
      <c r="J306" s="265"/>
      <c r="K306" s="268"/>
      <c r="L306" s="258"/>
      <c r="M306" s="282"/>
      <c r="N306" s="22"/>
      <c r="O306" s="268"/>
      <c r="P306" s="23"/>
      <c r="Q306" s="268"/>
      <c r="R306" s="118"/>
    </row>
    <row r="307" spans="1:18" x14ac:dyDescent="0.35">
      <c r="A307" s="67" t="str">
        <f>IF(TRIM(G307)&lt;&gt;"",COUNTA(G$11:$G307)&amp;"","")</f>
        <v>204</v>
      </c>
      <c r="B307" s="311"/>
      <c r="C307" s="311"/>
      <c r="D307" s="30"/>
      <c r="E307" s="52" t="s">
        <v>498</v>
      </c>
      <c r="F307" s="69">
        <v>56.89</v>
      </c>
      <c r="G307" s="70" t="s">
        <v>177</v>
      </c>
      <c r="H307" s="21">
        <v>0.1</v>
      </c>
      <c r="I307" s="47">
        <f t="shared" ref="I307:I309" si="477">IF(F307=0,"",F307+(F307*H307))</f>
        <v>62.579000000000001</v>
      </c>
      <c r="J307" s="265">
        <v>1.625</v>
      </c>
      <c r="K307" s="268">
        <f t="shared" ref="K307:K309" si="478">IF(F307=0,"",J307*I307)</f>
        <v>101.69087500000001</v>
      </c>
      <c r="L307" s="258">
        <f t="shared" ref="L307:L309" si="479">IF(F307=0,"",L$231)</f>
        <v>52</v>
      </c>
      <c r="M307" s="282">
        <v>3.2500000000000001E-2</v>
      </c>
      <c r="N307" s="22">
        <f t="shared" ref="N307:N309" si="480">IF(F307=0,"",M307*I307)</f>
        <v>2.0338175000000001</v>
      </c>
      <c r="O307" s="268">
        <f t="shared" ref="O307:O309" si="481">IF(F307=0,"",N307*L307)</f>
        <v>105.75851</v>
      </c>
      <c r="P307" s="23">
        <f t="shared" ref="P307:P309" si="482">IF(F307=0,"",(K307+O307)/I307)</f>
        <v>3.3149999999999999</v>
      </c>
      <c r="Q307" s="268">
        <f t="shared" ref="Q307:Q309" si="483">IF(F307=0,"",(P307*I307))</f>
        <v>207.44938500000001</v>
      </c>
      <c r="R307" s="118"/>
    </row>
    <row r="308" spans="1:18" x14ac:dyDescent="0.35">
      <c r="A308" s="67" t="str">
        <f>IF(TRIM(G308)&lt;&gt;"",COUNTA(G$11:$G308)&amp;"","")</f>
        <v>205</v>
      </c>
      <c r="B308" s="311"/>
      <c r="C308" s="311"/>
      <c r="D308" s="30"/>
      <c r="E308" s="52" t="s">
        <v>499</v>
      </c>
      <c r="F308" s="69">
        <v>42.92</v>
      </c>
      <c r="G308" s="70" t="s">
        <v>177</v>
      </c>
      <c r="H308" s="21">
        <v>0.1</v>
      </c>
      <c r="I308" s="47">
        <f t="shared" si="477"/>
        <v>47.212000000000003</v>
      </c>
      <c r="J308" s="265">
        <v>4.2250000000000005</v>
      </c>
      <c r="K308" s="268">
        <f t="shared" si="478"/>
        <v>199.47070000000005</v>
      </c>
      <c r="L308" s="258">
        <f t="shared" si="479"/>
        <v>52</v>
      </c>
      <c r="M308" s="282">
        <v>6.5000000000000002E-2</v>
      </c>
      <c r="N308" s="22">
        <f t="shared" si="480"/>
        <v>3.0687800000000003</v>
      </c>
      <c r="O308" s="268">
        <f t="shared" si="481"/>
        <v>159.57656000000003</v>
      </c>
      <c r="P308" s="23">
        <f t="shared" si="482"/>
        <v>7.6050000000000004</v>
      </c>
      <c r="Q308" s="268">
        <f t="shared" si="483"/>
        <v>359.04726000000005</v>
      </c>
      <c r="R308" s="118"/>
    </row>
    <row r="309" spans="1:18" x14ac:dyDescent="0.35">
      <c r="A309" s="67" t="str">
        <f>IF(TRIM(G309)&lt;&gt;"",COUNTA(G$11:$G309)&amp;"","")</f>
        <v>206</v>
      </c>
      <c r="B309" s="311"/>
      <c r="C309" s="311"/>
      <c r="D309" s="30"/>
      <c r="E309" s="52" t="s">
        <v>500</v>
      </c>
      <c r="F309" s="69">
        <v>20.8</v>
      </c>
      <c r="G309" s="70" t="s">
        <v>177</v>
      </c>
      <c r="H309" s="21">
        <v>0.1</v>
      </c>
      <c r="I309" s="47">
        <f t="shared" si="477"/>
        <v>22.880000000000003</v>
      </c>
      <c r="J309" s="265">
        <v>4.875</v>
      </c>
      <c r="K309" s="268">
        <f t="shared" si="478"/>
        <v>111.54</v>
      </c>
      <c r="L309" s="258">
        <f t="shared" si="479"/>
        <v>52</v>
      </c>
      <c r="M309" s="282">
        <v>7.8E-2</v>
      </c>
      <c r="N309" s="22">
        <f t="shared" si="480"/>
        <v>1.7846400000000002</v>
      </c>
      <c r="O309" s="268">
        <f t="shared" si="481"/>
        <v>92.801280000000006</v>
      </c>
      <c r="P309" s="23">
        <f t="shared" si="482"/>
        <v>8.9309999999999992</v>
      </c>
      <c r="Q309" s="268">
        <f t="shared" si="483"/>
        <v>204.34128000000001</v>
      </c>
      <c r="R309" s="118"/>
    </row>
    <row r="310" spans="1:18" x14ac:dyDescent="0.35">
      <c r="A310" s="67" t="str">
        <f>IF(TRIM(G310)&lt;&gt;"",COUNTA(G$11:$G310)&amp;"","")</f>
        <v/>
      </c>
      <c r="B310" s="311"/>
      <c r="C310" s="311"/>
      <c r="D310" s="30"/>
      <c r="E310" s="52"/>
      <c r="F310" s="69"/>
      <c r="G310" s="70"/>
      <c r="H310" s="21"/>
      <c r="I310" s="47"/>
      <c r="J310" s="265"/>
      <c r="K310" s="268"/>
      <c r="L310" s="258"/>
      <c r="M310" s="282"/>
      <c r="N310" s="22"/>
      <c r="O310" s="268"/>
      <c r="P310" s="23"/>
      <c r="Q310" s="268"/>
      <c r="R310" s="118"/>
    </row>
    <row r="311" spans="1:18" x14ac:dyDescent="0.35">
      <c r="A311" s="67" t="str">
        <f>IF(TRIM(G311)&lt;&gt;"",COUNTA(G$11:$G311)&amp;"","")</f>
        <v/>
      </c>
      <c r="B311" s="311"/>
      <c r="C311" s="311"/>
      <c r="D311" s="30"/>
      <c r="E311" s="240" t="s">
        <v>501</v>
      </c>
      <c r="F311" s="69"/>
      <c r="G311" s="70"/>
      <c r="H311" s="21"/>
      <c r="I311" s="47"/>
      <c r="J311" s="265"/>
      <c r="K311" s="268"/>
      <c r="L311" s="258"/>
      <c r="M311" s="282"/>
      <c r="N311" s="22"/>
      <c r="O311" s="268"/>
      <c r="P311" s="23"/>
      <c r="Q311" s="268"/>
      <c r="R311" s="118"/>
    </row>
    <row r="312" spans="1:18" x14ac:dyDescent="0.35">
      <c r="A312" s="67" t="str">
        <f>IF(TRIM(G312)&lt;&gt;"",COUNTA(G$11:$G312)&amp;"","")</f>
        <v>207</v>
      </c>
      <c r="B312" s="311"/>
      <c r="C312" s="311"/>
      <c r="D312" s="30"/>
      <c r="E312" s="52" t="s">
        <v>562</v>
      </c>
      <c r="F312" s="69">
        <f>23+23</f>
        <v>46</v>
      </c>
      <c r="G312" s="70" t="s">
        <v>177</v>
      </c>
      <c r="H312" s="21">
        <v>0.1</v>
      </c>
      <c r="I312" s="47">
        <f t="shared" ref="I312" si="484">IF(F312=0,"",F312+(F312*H312))</f>
        <v>50.6</v>
      </c>
      <c r="J312" s="265">
        <v>2.2749999999999999</v>
      </c>
      <c r="K312" s="268">
        <f t="shared" ref="K312" si="485">IF(F312=0,"",J312*I312)</f>
        <v>115.11499999999999</v>
      </c>
      <c r="L312" s="258">
        <f t="shared" ref="L312" si="486">IF(F312=0,"",L$231)</f>
        <v>52</v>
      </c>
      <c r="M312" s="282">
        <v>5.2000000000000005E-2</v>
      </c>
      <c r="N312" s="22">
        <f t="shared" ref="N312" si="487">IF(F312=0,"",M312*I312)</f>
        <v>2.6312000000000002</v>
      </c>
      <c r="O312" s="268">
        <f t="shared" ref="O312" si="488">IF(F312=0,"",N312*L312)</f>
        <v>136.82240000000002</v>
      </c>
      <c r="P312" s="23">
        <f t="shared" ref="P312" si="489">IF(F312=0,"",(K312+O312)/I312)</f>
        <v>4.9790000000000001</v>
      </c>
      <c r="Q312" s="268">
        <f t="shared" ref="Q312" si="490">IF(F312=0,"",(P312*I312))</f>
        <v>251.93740000000003</v>
      </c>
      <c r="R312" s="118"/>
    </row>
    <row r="313" spans="1:18" x14ac:dyDescent="0.35">
      <c r="A313" s="67" t="str">
        <f>IF(TRIM(G313)&lt;&gt;"",COUNTA(G$11:$G313)&amp;"","")</f>
        <v>208</v>
      </c>
      <c r="B313" s="311"/>
      <c r="C313" s="311"/>
      <c r="D313" s="30"/>
      <c r="E313" s="52" t="s">
        <v>502</v>
      </c>
      <c r="F313" s="69">
        <f>5.99*3</f>
        <v>17.97</v>
      </c>
      <c r="G313" s="70" t="s">
        <v>177</v>
      </c>
      <c r="H313" s="21">
        <v>0.1</v>
      </c>
      <c r="I313" s="47">
        <f t="shared" ref="I313" si="491">IF(F313=0,"",F313+(F313*H313))</f>
        <v>19.766999999999999</v>
      </c>
      <c r="J313" s="265">
        <v>4.875</v>
      </c>
      <c r="K313" s="268">
        <f t="shared" ref="K313" si="492">IF(F313=0,"",J313*I313)</f>
        <v>96.364125000000001</v>
      </c>
      <c r="L313" s="258">
        <f t="shared" ref="L313" si="493">IF(F313=0,"",L$231)</f>
        <v>52</v>
      </c>
      <c r="M313" s="282">
        <v>7.8E-2</v>
      </c>
      <c r="N313" s="22">
        <f t="shared" ref="N313" si="494">IF(F313=0,"",M313*I313)</f>
        <v>1.5418259999999999</v>
      </c>
      <c r="O313" s="268">
        <f t="shared" ref="O313" si="495">IF(F313=0,"",N313*L313)</f>
        <v>80.17495199999999</v>
      </c>
      <c r="P313" s="23">
        <f t="shared" ref="P313" si="496">IF(F313=0,"",(K313+O313)/I313)</f>
        <v>8.9309999999999992</v>
      </c>
      <c r="Q313" s="268">
        <f t="shared" ref="Q313" si="497">IF(F313=0,"",(P313*I313))</f>
        <v>176.53907699999999</v>
      </c>
      <c r="R313" s="118"/>
    </row>
    <row r="314" spans="1:18" x14ac:dyDescent="0.35">
      <c r="A314" s="67" t="str">
        <f>IF(TRIM(G314)&lt;&gt;"",COUNTA(G$11:$G314)&amp;"","")</f>
        <v/>
      </c>
      <c r="B314" s="311"/>
      <c r="C314" s="311"/>
      <c r="D314" s="30"/>
      <c r="E314" s="52"/>
      <c r="F314" s="69"/>
      <c r="G314" s="70"/>
      <c r="H314" s="21"/>
      <c r="I314" s="47"/>
      <c r="J314" s="265"/>
      <c r="K314" s="268"/>
      <c r="L314" s="258"/>
      <c r="M314" s="282"/>
      <c r="N314" s="22"/>
      <c r="O314" s="268"/>
      <c r="P314" s="23"/>
      <c r="Q314" s="268"/>
      <c r="R314" s="118"/>
    </row>
    <row r="315" spans="1:18" x14ac:dyDescent="0.35">
      <c r="A315" s="67" t="str">
        <f>IF(TRIM(G315)&lt;&gt;"",COUNTA(G$11:$G315)&amp;"","")</f>
        <v/>
      </c>
      <c r="B315" s="311"/>
      <c r="C315" s="311"/>
      <c r="D315" s="30"/>
      <c r="E315" s="191" t="s">
        <v>506</v>
      </c>
      <c r="F315" s="69"/>
      <c r="G315" s="70"/>
      <c r="H315" s="21"/>
      <c r="I315" s="47"/>
      <c r="J315" s="265"/>
      <c r="K315" s="268"/>
      <c r="L315" s="258"/>
      <c r="M315" s="282"/>
      <c r="N315" s="22"/>
      <c r="O315" s="268"/>
      <c r="P315" s="23"/>
      <c r="Q315" s="268"/>
      <c r="R315" s="118"/>
    </row>
    <row r="316" spans="1:18" x14ac:dyDescent="0.35">
      <c r="A316" s="67" t="str">
        <f>IF(TRIM(G316)&lt;&gt;"",COUNTA(G$11:$G316)&amp;"","")</f>
        <v/>
      </c>
      <c r="B316" s="311"/>
      <c r="C316" s="311"/>
      <c r="D316" s="30"/>
      <c r="E316" s="240" t="s">
        <v>507</v>
      </c>
      <c r="F316" s="69"/>
      <c r="G316" s="70"/>
      <c r="H316" s="21"/>
      <c r="I316" s="47"/>
      <c r="J316" s="265"/>
      <c r="K316" s="268"/>
      <c r="L316" s="258"/>
      <c r="M316" s="282"/>
      <c r="N316" s="22"/>
      <c r="O316" s="268"/>
      <c r="P316" s="23"/>
      <c r="Q316" s="268"/>
      <c r="R316" s="118"/>
    </row>
    <row r="317" spans="1:18" x14ac:dyDescent="0.35">
      <c r="A317" s="67" t="str">
        <f>IF(TRIM(G317)&lt;&gt;"",COUNTA(G$11:$G317)&amp;"","")</f>
        <v>209</v>
      </c>
      <c r="B317" s="311"/>
      <c r="C317" s="311"/>
      <c r="D317" s="30"/>
      <c r="E317" s="244" t="s">
        <v>508</v>
      </c>
      <c r="F317" s="239">
        <v>32</v>
      </c>
      <c r="G317" s="245" t="s">
        <v>177</v>
      </c>
      <c r="H317" s="21"/>
      <c r="I317" s="47"/>
      <c r="J317" s="265"/>
      <c r="K317" s="268"/>
      <c r="L317" s="258"/>
      <c r="M317" s="282"/>
      <c r="N317" s="22"/>
      <c r="O317" s="268"/>
      <c r="P317" s="23"/>
      <c r="Q317" s="268"/>
      <c r="R317" s="118"/>
    </row>
    <row r="318" spans="1:18" x14ac:dyDescent="0.35">
      <c r="A318" s="67" t="str">
        <f>IF(TRIM(G318)&lt;&gt;"",COUNTA(G$11:$G318)&amp;"","")</f>
        <v>210</v>
      </c>
      <c r="B318" s="311"/>
      <c r="C318" s="311"/>
      <c r="D318" s="30"/>
      <c r="E318" s="52" t="s">
        <v>509</v>
      </c>
      <c r="F318" s="69">
        <v>4</v>
      </c>
      <c r="G318" s="70" t="s">
        <v>211</v>
      </c>
      <c r="H318" s="21">
        <v>0</v>
      </c>
      <c r="I318" s="47">
        <f t="shared" ref="I318" si="498">IF(F318=0,"",F318+(F318*H318))</f>
        <v>4</v>
      </c>
      <c r="J318" s="265">
        <v>60</v>
      </c>
      <c r="K318" s="268">
        <f t="shared" ref="K318" si="499">IF(F318=0,"",J318*I318)</f>
        <v>240</v>
      </c>
      <c r="L318" s="258">
        <f t="shared" ref="L318" si="500">IF(F318=0,"",L$231)</f>
        <v>52</v>
      </c>
      <c r="M318" s="282">
        <v>0.25</v>
      </c>
      <c r="N318" s="22">
        <f t="shared" ref="N318" si="501">IF(F318=0,"",M318*I318)</f>
        <v>1</v>
      </c>
      <c r="O318" s="268">
        <f t="shared" ref="O318" si="502">IF(F318=0,"",N318*L318)</f>
        <v>52</v>
      </c>
      <c r="P318" s="23">
        <f t="shared" ref="P318" si="503">IF(F318=0,"",(K318+O318)/I318)</f>
        <v>73</v>
      </c>
      <c r="Q318" s="268">
        <f t="shared" ref="Q318" si="504">IF(F318=0,"",(P318*I318))</f>
        <v>292</v>
      </c>
      <c r="R318" s="118"/>
    </row>
    <row r="319" spans="1:18" x14ac:dyDescent="0.35">
      <c r="A319" s="67" t="str">
        <f>IF(TRIM(G319)&lt;&gt;"",COUNTA(G$11:$G319)&amp;"","")</f>
        <v/>
      </c>
      <c r="B319" s="311"/>
      <c r="C319" s="311"/>
      <c r="D319" s="30"/>
      <c r="E319" s="52"/>
      <c r="F319" s="69"/>
      <c r="G319" s="70"/>
      <c r="H319" s="21"/>
      <c r="I319" s="47"/>
      <c r="J319" s="265"/>
      <c r="K319" s="268"/>
      <c r="L319" s="258"/>
      <c r="M319" s="282"/>
      <c r="N319" s="22"/>
      <c r="O319" s="268"/>
      <c r="P319" s="23"/>
      <c r="Q319" s="268"/>
      <c r="R319" s="118"/>
    </row>
    <row r="320" spans="1:18" x14ac:dyDescent="0.35">
      <c r="A320" s="67" t="str">
        <f>IF(TRIM(G320)&lt;&gt;"",COUNTA(G$11:$G320)&amp;"","")</f>
        <v/>
      </c>
      <c r="B320" s="311"/>
      <c r="C320" s="311"/>
      <c r="D320" s="30"/>
      <c r="E320" s="240" t="s">
        <v>513</v>
      </c>
      <c r="F320" s="69"/>
      <c r="G320" s="70"/>
      <c r="H320" s="21"/>
      <c r="I320" s="47"/>
      <c r="J320" s="265"/>
      <c r="K320" s="268"/>
      <c r="L320" s="258"/>
      <c r="M320" s="282"/>
      <c r="N320" s="22"/>
      <c r="O320" s="268"/>
      <c r="P320" s="23"/>
      <c r="Q320" s="268"/>
      <c r="R320" s="118"/>
    </row>
    <row r="321" spans="1:18" x14ac:dyDescent="0.35">
      <c r="A321" s="67" t="str">
        <f>IF(TRIM(G321)&lt;&gt;"",COUNTA(G$11:$G321)&amp;"","")</f>
        <v>211</v>
      </c>
      <c r="B321" s="311"/>
      <c r="C321" s="311"/>
      <c r="D321" s="30"/>
      <c r="E321" s="52" t="s">
        <v>511</v>
      </c>
      <c r="F321" s="69">
        <v>19</v>
      </c>
      <c r="G321" s="70" t="s">
        <v>211</v>
      </c>
      <c r="H321" s="21">
        <v>0</v>
      </c>
      <c r="I321" s="47">
        <f t="shared" ref="I321:I322" si="505">IF(F321=0,"",F321+(F321*H321))</f>
        <v>19</v>
      </c>
      <c r="J321" s="265">
        <v>25</v>
      </c>
      <c r="K321" s="268">
        <f t="shared" ref="K321:K322" si="506">IF(F321=0,"",J321*I321)</f>
        <v>475</v>
      </c>
      <c r="L321" s="258">
        <f t="shared" ref="L321:L322" si="507">IF(F321=0,"",L$231)</f>
        <v>52</v>
      </c>
      <c r="M321" s="282">
        <v>0.15</v>
      </c>
      <c r="N321" s="22">
        <f t="shared" ref="N321:N322" si="508">IF(F321=0,"",M321*I321)</f>
        <v>2.85</v>
      </c>
      <c r="O321" s="268">
        <f t="shared" ref="O321:O322" si="509">IF(F321=0,"",N321*L321)</f>
        <v>148.20000000000002</v>
      </c>
      <c r="P321" s="23">
        <f t="shared" ref="P321:P322" si="510">IF(F321=0,"",(K321+O321)/I321)</f>
        <v>32.800000000000004</v>
      </c>
      <c r="Q321" s="268">
        <f t="shared" ref="Q321:Q322" si="511">IF(F321=0,"",(P321*I321))</f>
        <v>623.20000000000005</v>
      </c>
      <c r="R321" s="118"/>
    </row>
    <row r="322" spans="1:18" x14ac:dyDescent="0.35">
      <c r="A322" s="67" t="str">
        <f>IF(TRIM(G322)&lt;&gt;"",COUNTA(G$11:$G322)&amp;"","")</f>
        <v>212</v>
      </c>
      <c r="B322" s="311"/>
      <c r="C322" s="311"/>
      <c r="D322" s="30"/>
      <c r="E322" s="52" t="s">
        <v>510</v>
      </c>
      <c r="F322" s="69">
        <v>18</v>
      </c>
      <c r="G322" s="70" t="s">
        <v>211</v>
      </c>
      <c r="H322" s="21">
        <v>0</v>
      </c>
      <c r="I322" s="47">
        <f t="shared" si="505"/>
        <v>18</v>
      </c>
      <c r="J322" s="265">
        <v>35</v>
      </c>
      <c r="K322" s="268">
        <f t="shared" si="506"/>
        <v>630</v>
      </c>
      <c r="L322" s="258">
        <f t="shared" si="507"/>
        <v>52</v>
      </c>
      <c r="M322" s="282">
        <v>0.2</v>
      </c>
      <c r="N322" s="22">
        <f t="shared" si="508"/>
        <v>3.6</v>
      </c>
      <c r="O322" s="268">
        <f t="shared" si="509"/>
        <v>187.20000000000002</v>
      </c>
      <c r="P322" s="23">
        <f t="shared" si="510"/>
        <v>45.400000000000006</v>
      </c>
      <c r="Q322" s="268">
        <f t="shared" si="511"/>
        <v>817.2</v>
      </c>
      <c r="R322" s="118"/>
    </row>
    <row r="323" spans="1:18" x14ac:dyDescent="0.35">
      <c r="A323" s="67" t="str">
        <f>IF(TRIM(G323)&lt;&gt;"",COUNTA(G$11:$G323)&amp;"","")</f>
        <v/>
      </c>
      <c r="B323" s="311"/>
      <c r="C323" s="311"/>
      <c r="D323" s="30"/>
      <c r="E323" s="52"/>
      <c r="F323" s="69"/>
      <c r="G323" s="70"/>
      <c r="H323" s="21"/>
      <c r="I323" s="47"/>
      <c r="J323" s="265"/>
      <c r="K323" s="268"/>
      <c r="L323" s="258"/>
      <c r="M323" s="282"/>
      <c r="N323" s="22"/>
      <c r="O323" s="268"/>
      <c r="P323" s="23"/>
      <c r="Q323" s="268"/>
      <c r="R323" s="118"/>
    </row>
    <row r="324" spans="1:18" x14ac:dyDescent="0.35">
      <c r="A324" s="67" t="str">
        <f>IF(TRIM(G324)&lt;&gt;"",COUNTA(G$11:$G324)&amp;"","")</f>
        <v/>
      </c>
      <c r="B324" s="311"/>
      <c r="C324" s="311"/>
      <c r="D324" s="30"/>
      <c r="E324" s="240" t="s">
        <v>512</v>
      </c>
      <c r="F324" s="69"/>
      <c r="G324" s="70"/>
      <c r="H324" s="21"/>
      <c r="I324" s="47"/>
      <c r="J324" s="265"/>
      <c r="K324" s="268"/>
      <c r="L324" s="258"/>
      <c r="M324" s="282"/>
      <c r="N324" s="22"/>
      <c r="O324" s="268"/>
      <c r="P324" s="23"/>
      <c r="Q324" s="268"/>
      <c r="R324" s="118"/>
    </row>
    <row r="325" spans="1:18" x14ac:dyDescent="0.35">
      <c r="A325" s="67" t="str">
        <f>IF(TRIM(G325)&lt;&gt;"",COUNTA(G$11:$G325)&amp;"","")</f>
        <v>213</v>
      </c>
      <c r="B325" s="311"/>
      <c r="C325" s="311"/>
      <c r="D325" s="30"/>
      <c r="E325" s="52" t="s">
        <v>514</v>
      </c>
      <c r="F325" s="69">
        <f>1.15*15.72*3</f>
        <v>54.233999999999995</v>
      </c>
      <c r="G325" s="70" t="s">
        <v>177</v>
      </c>
      <c r="H325" s="21">
        <v>0.1</v>
      </c>
      <c r="I325" s="47">
        <f t="shared" ref="I325" si="512">IF(F325=0,"",F325+(F325*H325))</f>
        <v>59.657399999999996</v>
      </c>
      <c r="J325" s="265">
        <v>10</v>
      </c>
      <c r="K325" s="268">
        <f t="shared" ref="K325" si="513">IF(F325=0,"",J325*I325)</f>
        <v>596.57399999999996</v>
      </c>
      <c r="L325" s="258">
        <f t="shared" ref="L325" si="514">IF(F325=0,"",L$231)</f>
        <v>52</v>
      </c>
      <c r="M325" s="282">
        <v>0.12</v>
      </c>
      <c r="N325" s="22">
        <f t="shared" ref="N325" si="515">IF(F325=0,"",M325*I325)</f>
        <v>7.1588879999999993</v>
      </c>
      <c r="O325" s="268">
        <f t="shared" ref="O325" si="516">IF(F325=0,"",N325*L325)</f>
        <v>372.26217599999995</v>
      </c>
      <c r="P325" s="23">
        <f t="shared" ref="P325" si="517">IF(F325=0,"",(K325+O325)/I325)</f>
        <v>16.239999999999998</v>
      </c>
      <c r="Q325" s="268">
        <f t="shared" ref="Q325" si="518">IF(F325=0,"",(P325*I325))</f>
        <v>968.8361759999998</v>
      </c>
      <c r="R325" s="118"/>
    </row>
    <row r="326" spans="1:18" x14ac:dyDescent="0.35">
      <c r="A326" s="67" t="str">
        <f>IF(TRIM(G326)&lt;&gt;"",COUNTA(G$11:$G326)&amp;"","")</f>
        <v/>
      </c>
      <c r="B326" s="311"/>
      <c r="C326" s="311"/>
      <c r="D326" s="30"/>
      <c r="E326" s="52"/>
      <c r="F326" s="69"/>
      <c r="G326" s="70"/>
      <c r="H326" s="21"/>
      <c r="I326" s="47"/>
      <c r="J326" s="265"/>
      <c r="K326" s="268"/>
      <c r="L326" s="258"/>
      <c r="M326" s="282"/>
      <c r="N326" s="22"/>
      <c r="O326" s="268"/>
      <c r="P326" s="23"/>
      <c r="Q326" s="268"/>
      <c r="R326" s="118"/>
    </row>
    <row r="327" spans="1:18" x14ac:dyDescent="0.35">
      <c r="A327" s="67" t="str">
        <f>IF(TRIM(G327)&lt;&gt;"",COUNTA(G$11:$G327)&amp;"","")</f>
        <v/>
      </c>
      <c r="B327" s="311"/>
      <c r="C327" s="311"/>
      <c r="D327" s="30"/>
      <c r="E327" s="240" t="s">
        <v>515</v>
      </c>
      <c r="F327" s="69"/>
      <c r="G327" s="70"/>
      <c r="H327" s="21"/>
      <c r="I327" s="47"/>
      <c r="J327" s="265"/>
      <c r="K327" s="268"/>
      <c r="L327" s="258"/>
      <c r="M327" s="282"/>
      <c r="N327" s="22"/>
      <c r="O327" s="268"/>
      <c r="P327" s="23"/>
      <c r="Q327" s="268"/>
      <c r="R327" s="118"/>
    </row>
    <row r="328" spans="1:18" x14ac:dyDescent="0.35">
      <c r="A328" s="67" t="str">
        <f>IF(TRIM(G328)&lt;&gt;"",COUNTA(G$11:$G328)&amp;"","")</f>
        <v>214</v>
      </c>
      <c r="B328" s="311"/>
      <c r="C328" s="311"/>
      <c r="D328" s="30"/>
      <c r="E328" s="52" t="s">
        <v>502</v>
      </c>
      <c r="F328" s="69">
        <f>3.43*2</f>
        <v>6.86</v>
      </c>
      <c r="G328" s="70" t="s">
        <v>177</v>
      </c>
      <c r="H328" s="21">
        <v>0.1</v>
      </c>
      <c r="I328" s="47">
        <f t="shared" ref="I328" si="519">IF(F328=0,"",F328+(F328*H328))</f>
        <v>7.5460000000000003</v>
      </c>
      <c r="J328" s="265">
        <v>4.875</v>
      </c>
      <c r="K328" s="268">
        <f t="shared" ref="K328" si="520">IF(F328=0,"",J328*I328)</f>
        <v>36.786749999999998</v>
      </c>
      <c r="L328" s="258">
        <f t="shared" ref="L328" si="521">IF(F328=0,"",L$231)</f>
        <v>52</v>
      </c>
      <c r="M328" s="282">
        <v>7.8E-2</v>
      </c>
      <c r="N328" s="22">
        <f t="shared" ref="N328" si="522">IF(F328=0,"",M328*I328)</f>
        <v>0.588588</v>
      </c>
      <c r="O328" s="268">
        <f t="shared" ref="O328" si="523">IF(F328=0,"",N328*L328)</f>
        <v>30.606576</v>
      </c>
      <c r="P328" s="23">
        <f t="shared" ref="P328" si="524">IF(F328=0,"",(K328+O328)/I328)</f>
        <v>8.9309999999999992</v>
      </c>
      <c r="Q328" s="268">
        <f t="shared" ref="Q328" si="525">IF(F328=0,"",(P328*I328))</f>
        <v>67.393326000000002</v>
      </c>
      <c r="R328" s="118"/>
    </row>
    <row r="329" spans="1:18" x14ac:dyDescent="0.35">
      <c r="A329" s="67" t="str">
        <f>IF(TRIM(G329)&lt;&gt;"",COUNTA(G$11:$G329)&amp;"","")</f>
        <v/>
      </c>
      <c r="B329" s="311"/>
      <c r="C329" s="311"/>
      <c r="D329" s="30"/>
      <c r="E329" s="52"/>
      <c r="F329" s="69"/>
      <c r="G329" s="70"/>
      <c r="H329" s="21"/>
      <c r="I329" s="47"/>
      <c r="J329" s="265"/>
      <c r="K329" s="268"/>
      <c r="L329" s="258"/>
      <c r="M329" s="282"/>
      <c r="N329" s="22"/>
      <c r="O329" s="268"/>
      <c r="P329" s="23"/>
      <c r="Q329" s="268"/>
      <c r="R329" s="118"/>
    </row>
    <row r="330" spans="1:18" x14ac:dyDescent="0.35">
      <c r="A330" s="67" t="str">
        <f>IF(TRIM(G330)&lt;&gt;"",COUNTA(G$11:$G330)&amp;"","")</f>
        <v/>
      </c>
      <c r="B330" s="311"/>
      <c r="C330" s="311"/>
      <c r="D330" s="30"/>
      <c r="E330" s="240" t="s">
        <v>516</v>
      </c>
      <c r="F330" s="69"/>
      <c r="G330" s="70"/>
      <c r="H330" s="21"/>
      <c r="I330" s="47"/>
      <c r="J330" s="265"/>
      <c r="K330" s="268"/>
      <c r="L330" s="258"/>
      <c r="M330" s="282"/>
      <c r="N330" s="22"/>
      <c r="O330" s="268"/>
      <c r="P330" s="23"/>
      <c r="Q330" s="268"/>
      <c r="R330" s="118"/>
    </row>
    <row r="331" spans="1:18" ht="15" x14ac:dyDescent="0.35">
      <c r="A331" s="67" t="str">
        <f>IF(TRIM(G331)&lt;&gt;"",COUNTA(G$11:$G331)&amp;"","")</f>
        <v>215</v>
      </c>
      <c r="B331" s="311"/>
      <c r="C331" s="311"/>
      <c r="D331" s="30"/>
      <c r="E331" s="252" t="s">
        <v>485</v>
      </c>
      <c r="F331" s="253">
        <v>56.2</v>
      </c>
      <c r="G331" s="245" t="s">
        <v>163</v>
      </c>
      <c r="H331" s="21"/>
      <c r="I331" s="47"/>
      <c r="J331" s="265"/>
      <c r="K331" s="268"/>
      <c r="L331" s="258"/>
      <c r="M331" s="282"/>
      <c r="N331" s="22"/>
      <c r="O331" s="268"/>
      <c r="P331" s="23"/>
      <c r="Q331" s="268"/>
      <c r="R331" s="118"/>
    </row>
    <row r="332" spans="1:18" ht="15.5" x14ac:dyDescent="0.35">
      <c r="A332" s="67" t="str">
        <f>IF(TRIM(G332)&lt;&gt;"",COUNTA(G$11:$G332)&amp;"","")</f>
        <v>216</v>
      </c>
      <c r="B332" s="311"/>
      <c r="C332" s="311"/>
      <c r="D332" s="30"/>
      <c r="E332" s="254" t="s">
        <v>483</v>
      </c>
      <c r="F332" s="255">
        <f>ROUNDUP(F331/32,0)</f>
        <v>2</v>
      </c>
      <c r="G332" s="70" t="s">
        <v>211</v>
      </c>
      <c r="H332" s="21">
        <f t="shared" ref="H332:H333" si="526">IF(F332=0,"",0)</f>
        <v>0</v>
      </c>
      <c r="I332" s="47">
        <f t="shared" ref="I332:I333" si="527">IF(F332=0,"",F332+(F332*H332))</f>
        <v>2</v>
      </c>
      <c r="J332" s="265">
        <v>35</v>
      </c>
      <c r="K332" s="268">
        <f t="shared" ref="K332:K333" si="528">IF(F332=0,"",J332*I332)</f>
        <v>70</v>
      </c>
      <c r="L332" s="258">
        <f t="shared" ref="L332:L333" si="529">IF(F332=0,"",L$231)</f>
        <v>52</v>
      </c>
      <c r="M332" s="282">
        <f>0.016*32</f>
        <v>0.51200000000000001</v>
      </c>
      <c r="N332" s="22">
        <f t="shared" ref="N332:N333" si="530">IF(F332=0,"",M332*I332)</f>
        <v>1.024</v>
      </c>
      <c r="O332" s="268">
        <f t="shared" ref="O332:O333" si="531">IF(F332=0,"",N332*L332)</f>
        <v>53.248000000000005</v>
      </c>
      <c r="P332" s="23">
        <f t="shared" ref="P332:P333" si="532">IF(F332=0,"",(K332+O332)/I332)</f>
        <v>61.624000000000002</v>
      </c>
      <c r="Q332" s="268">
        <f t="shared" ref="Q332:Q333" si="533">IF(F332=0,"",(P332*I332))</f>
        <v>123.248</v>
      </c>
      <c r="R332" s="118"/>
    </row>
    <row r="333" spans="1:18" ht="15.5" x14ac:dyDescent="0.35">
      <c r="A333" s="67" t="str">
        <f>IF(TRIM(G333)&lt;&gt;"",COUNTA(G$11:$G333)&amp;"","")</f>
        <v>217</v>
      </c>
      <c r="B333" s="311"/>
      <c r="C333" s="311"/>
      <c r="D333" s="30"/>
      <c r="E333" s="254" t="s">
        <v>484</v>
      </c>
      <c r="F333" s="255">
        <f>F332*75</f>
        <v>150</v>
      </c>
      <c r="G333" s="70" t="s">
        <v>211</v>
      </c>
      <c r="H333" s="21">
        <f t="shared" si="526"/>
        <v>0</v>
      </c>
      <c r="I333" s="47">
        <f t="shared" si="527"/>
        <v>150</v>
      </c>
      <c r="J333" s="265">
        <v>0.02</v>
      </c>
      <c r="K333" s="268">
        <f t="shared" si="528"/>
        <v>3</v>
      </c>
      <c r="L333" s="258">
        <f t="shared" si="529"/>
        <v>52</v>
      </c>
      <c r="M333" s="282">
        <v>1E-3</v>
      </c>
      <c r="N333" s="22">
        <f t="shared" si="530"/>
        <v>0.15</v>
      </c>
      <c r="O333" s="268">
        <f t="shared" si="531"/>
        <v>7.8</v>
      </c>
      <c r="P333" s="23">
        <f t="shared" si="532"/>
        <v>7.2000000000000008E-2</v>
      </c>
      <c r="Q333" s="268">
        <f t="shared" si="533"/>
        <v>10.8</v>
      </c>
      <c r="R333" s="118"/>
    </row>
    <row r="334" spans="1:18" x14ac:dyDescent="0.35">
      <c r="A334" s="67" t="str">
        <f>IF(TRIM(G334)&lt;&gt;"",COUNTA(G$11:$G334)&amp;"","")</f>
        <v/>
      </c>
      <c r="B334" s="311"/>
      <c r="C334" s="311"/>
      <c r="D334" s="30"/>
      <c r="E334" s="52"/>
      <c r="F334" s="69"/>
      <c r="G334" s="70"/>
      <c r="H334" s="21"/>
      <c r="I334" s="47"/>
      <c r="J334" s="265"/>
      <c r="K334" s="268"/>
      <c r="L334" s="258"/>
      <c r="M334" s="282"/>
      <c r="N334" s="22"/>
      <c r="O334" s="268"/>
      <c r="P334" s="23"/>
      <c r="Q334" s="268"/>
      <c r="R334" s="118"/>
    </row>
    <row r="335" spans="1:18" x14ac:dyDescent="0.35">
      <c r="A335" s="67" t="str">
        <f>IF(TRIM(G335)&lt;&gt;"",COUNTA(G$11:$G335)&amp;"","")</f>
        <v/>
      </c>
      <c r="B335" s="311"/>
      <c r="C335" s="311"/>
      <c r="D335" s="30"/>
      <c r="E335" s="191" t="s">
        <v>517</v>
      </c>
      <c r="F335" s="69"/>
      <c r="G335" s="70"/>
      <c r="H335" s="21"/>
      <c r="I335" s="47"/>
      <c r="J335" s="265"/>
      <c r="K335" s="268"/>
      <c r="L335" s="258"/>
      <c r="M335" s="282"/>
      <c r="N335" s="22"/>
      <c r="O335" s="268"/>
      <c r="P335" s="23"/>
      <c r="Q335" s="268"/>
      <c r="R335" s="118"/>
    </row>
    <row r="336" spans="1:18" x14ac:dyDescent="0.35">
      <c r="A336" s="67" t="str">
        <f>IF(TRIM(G336)&lt;&gt;"",COUNTA(G$11:$G336)&amp;"","")</f>
        <v/>
      </c>
      <c r="B336" s="311"/>
      <c r="C336" s="311"/>
      <c r="D336" s="30"/>
      <c r="E336" s="240" t="s">
        <v>507</v>
      </c>
      <c r="F336" s="69"/>
      <c r="G336" s="70"/>
      <c r="H336" s="21"/>
      <c r="I336" s="47"/>
      <c r="J336" s="265"/>
      <c r="K336" s="268"/>
      <c r="L336" s="258"/>
      <c r="M336" s="282"/>
      <c r="N336" s="22"/>
      <c r="O336" s="268"/>
      <c r="P336" s="23"/>
      <c r="Q336" s="268"/>
      <c r="R336" s="118"/>
    </row>
    <row r="337" spans="1:18" x14ac:dyDescent="0.35">
      <c r="A337" s="67" t="str">
        <f>IF(TRIM(G337)&lt;&gt;"",COUNTA(G$11:$G337)&amp;"","")</f>
        <v>218</v>
      </c>
      <c r="B337" s="311"/>
      <c r="C337" s="311"/>
      <c r="D337" s="30"/>
      <c r="E337" s="244" t="s">
        <v>518</v>
      </c>
      <c r="F337" s="239">
        <v>126</v>
      </c>
      <c r="G337" s="245" t="s">
        <v>177</v>
      </c>
      <c r="H337" s="21"/>
      <c r="I337" s="47"/>
      <c r="J337" s="265"/>
      <c r="K337" s="268"/>
      <c r="L337" s="258"/>
      <c r="M337" s="282"/>
      <c r="N337" s="22"/>
      <c r="O337" s="268"/>
      <c r="P337" s="23"/>
      <c r="Q337" s="268"/>
      <c r="R337" s="118"/>
    </row>
    <row r="338" spans="1:18" x14ac:dyDescent="0.35">
      <c r="A338" s="67" t="str">
        <f>IF(TRIM(G338)&lt;&gt;"",COUNTA(G$11:$G338)&amp;"","")</f>
        <v>219</v>
      </c>
      <c r="B338" s="311"/>
      <c r="C338" s="311"/>
      <c r="D338" s="30"/>
      <c r="E338" s="52" t="s">
        <v>524</v>
      </c>
      <c r="F338" s="69">
        <v>3</v>
      </c>
      <c r="G338" s="70" t="s">
        <v>211</v>
      </c>
      <c r="H338" s="21">
        <f t="shared" ref="H338:H339" si="534">IF(F338=0,"",0)</f>
        <v>0</v>
      </c>
      <c r="I338" s="47">
        <f t="shared" ref="I338:I339" si="535">IF(F338=0,"",F338+(F338*H338))</f>
        <v>3</v>
      </c>
      <c r="J338" s="265">
        <v>360</v>
      </c>
      <c r="K338" s="268">
        <f t="shared" ref="K338:K339" si="536">IF(F338=0,"",J338*I338)</f>
        <v>1080</v>
      </c>
      <c r="L338" s="258">
        <f t="shared" ref="L338:L339" si="537">IF(F338=0,"",L$231)</f>
        <v>52</v>
      </c>
      <c r="M338" s="282">
        <v>0.5</v>
      </c>
      <c r="N338" s="22">
        <f t="shared" ref="N338:N339" si="538">IF(F338=0,"",M338*I338)</f>
        <v>1.5</v>
      </c>
      <c r="O338" s="268">
        <f t="shared" ref="O338:O339" si="539">IF(F338=0,"",N338*L338)</f>
        <v>78</v>
      </c>
      <c r="P338" s="23">
        <f t="shared" ref="P338:P339" si="540">IF(F338=0,"",(K338+O338)/I338)</f>
        <v>386</v>
      </c>
      <c r="Q338" s="268">
        <f t="shared" ref="Q338:Q339" si="541">IF(F338=0,"",(P338*I338))</f>
        <v>1158</v>
      </c>
      <c r="R338" s="118"/>
    </row>
    <row r="339" spans="1:18" x14ac:dyDescent="0.35">
      <c r="A339" s="67" t="str">
        <f>IF(TRIM(G339)&lt;&gt;"",COUNTA(G$11:$G339)&amp;"","")</f>
        <v>220</v>
      </c>
      <c r="B339" s="311"/>
      <c r="C339" s="311"/>
      <c r="D339" s="30"/>
      <c r="E339" s="52" t="s">
        <v>523</v>
      </c>
      <c r="F339" s="69">
        <v>3</v>
      </c>
      <c r="G339" s="70" t="s">
        <v>211</v>
      </c>
      <c r="H339" s="21">
        <f t="shared" si="534"/>
        <v>0</v>
      </c>
      <c r="I339" s="47">
        <f t="shared" si="535"/>
        <v>3</v>
      </c>
      <c r="J339" s="265">
        <v>396</v>
      </c>
      <c r="K339" s="268">
        <f t="shared" si="536"/>
        <v>1188</v>
      </c>
      <c r="L339" s="258">
        <f t="shared" si="537"/>
        <v>52</v>
      </c>
      <c r="M339" s="282">
        <v>0.55000000000000004</v>
      </c>
      <c r="N339" s="22">
        <f t="shared" si="538"/>
        <v>1.6500000000000001</v>
      </c>
      <c r="O339" s="268">
        <f t="shared" si="539"/>
        <v>85.800000000000011</v>
      </c>
      <c r="P339" s="23">
        <f t="shared" si="540"/>
        <v>424.59999999999997</v>
      </c>
      <c r="Q339" s="268">
        <f t="shared" si="541"/>
        <v>1273.8</v>
      </c>
      <c r="R339" s="118"/>
    </row>
    <row r="340" spans="1:18" x14ac:dyDescent="0.35">
      <c r="A340" s="67" t="str">
        <f>IF(TRIM(G340)&lt;&gt;"",COUNTA(G$11:$G340)&amp;"","")</f>
        <v/>
      </c>
      <c r="B340" s="311"/>
      <c r="C340" s="311"/>
      <c r="D340" s="30"/>
      <c r="E340" s="52"/>
      <c r="F340" s="69"/>
      <c r="G340" s="70"/>
      <c r="H340" s="21"/>
      <c r="I340" s="47"/>
      <c r="J340" s="265"/>
      <c r="K340" s="268"/>
      <c r="L340" s="258"/>
      <c r="M340" s="282"/>
      <c r="N340" s="22"/>
      <c r="O340" s="268"/>
      <c r="P340" s="23"/>
      <c r="Q340" s="268"/>
      <c r="R340" s="118"/>
    </row>
    <row r="341" spans="1:18" x14ac:dyDescent="0.35">
      <c r="A341" s="67" t="str">
        <f>IF(TRIM(G341)&lt;&gt;"",COUNTA(G$11:$G341)&amp;"","")</f>
        <v>221</v>
      </c>
      <c r="B341" s="311"/>
      <c r="C341" s="311"/>
      <c r="D341" s="30"/>
      <c r="E341" s="244" t="s">
        <v>519</v>
      </c>
      <c r="F341" s="239">
        <v>54</v>
      </c>
      <c r="G341" s="245" t="s">
        <v>177</v>
      </c>
      <c r="H341" s="21"/>
      <c r="I341" s="47"/>
      <c r="J341" s="265"/>
      <c r="K341" s="268"/>
      <c r="L341" s="258"/>
      <c r="M341" s="282"/>
      <c r="N341" s="22"/>
      <c r="O341" s="268"/>
      <c r="P341" s="23"/>
      <c r="Q341" s="268"/>
      <c r="R341" s="118"/>
    </row>
    <row r="342" spans="1:18" x14ac:dyDescent="0.35">
      <c r="A342" s="67" t="str">
        <f>IF(TRIM(G342)&lt;&gt;"",COUNTA(G$11:$G342)&amp;"","")</f>
        <v>222</v>
      </c>
      <c r="B342" s="311"/>
      <c r="C342" s="311"/>
      <c r="D342" s="30"/>
      <c r="E342" s="52" t="s">
        <v>526</v>
      </c>
      <c r="F342" s="69">
        <v>3</v>
      </c>
      <c r="G342" s="70" t="s">
        <v>211</v>
      </c>
      <c r="H342" s="21">
        <f t="shared" ref="H342:H343" si="542">IF(F342=0,"",0)</f>
        <v>0</v>
      </c>
      <c r="I342" s="47">
        <f t="shared" ref="I342:I343" si="543">IF(F342=0,"",F342+(F342*H342))</f>
        <v>3</v>
      </c>
      <c r="J342" s="265">
        <v>52</v>
      </c>
      <c r="K342" s="268">
        <f t="shared" ref="K342:K343" si="544">IF(F342=0,"",J342*I342)</f>
        <v>156</v>
      </c>
      <c r="L342" s="258">
        <f t="shared" ref="L342:L343" si="545">IF(F342=0,"",L$231)</f>
        <v>52</v>
      </c>
      <c r="M342" s="282">
        <v>0.15</v>
      </c>
      <c r="N342" s="22">
        <f t="shared" ref="N342:N343" si="546">IF(F342=0,"",M342*I342)</f>
        <v>0.44999999999999996</v>
      </c>
      <c r="O342" s="268">
        <f t="shared" ref="O342:O343" si="547">IF(F342=0,"",N342*L342)</f>
        <v>23.4</v>
      </c>
      <c r="P342" s="23">
        <f t="shared" ref="P342:P343" si="548">IF(F342=0,"",(K342+O342)/I342)</f>
        <v>59.800000000000004</v>
      </c>
      <c r="Q342" s="268">
        <f t="shared" ref="Q342:Q343" si="549">IF(F342=0,"",(P342*I342))</f>
        <v>179.4</v>
      </c>
      <c r="R342" s="118"/>
    </row>
    <row r="343" spans="1:18" x14ac:dyDescent="0.35">
      <c r="A343" s="67" t="str">
        <f>IF(TRIM(G343)&lt;&gt;"",COUNTA(G$11:$G343)&amp;"","")</f>
        <v>223</v>
      </c>
      <c r="B343" s="311"/>
      <c r="C343" s="311"/>
      <c r="D343" s="30"/>
      <c r="E343" s="52" t="s">
        <v>525</v>
      </c>
      <c r="F343" s="69">
        <v>2</v>
      </c>
      <c r="G343" s="70" t="s">
        <v>211</v>
      </c>
      <c r="H343" s="21">
        <f t="shared" si="542"/>
        <v>0</v>
      </c>
      <c r="I343" s="47">
        <f t="shared" si="543"/>
        <v>2</v>
      </c>
      <c r="J343" s="265">
        <v>104</v>
      </c>
      <c r="K343" s="268">
        <f t="shared" si="544"/>
        <v>208</v>
      </c>
      <c r="L343" s="258">
        <f t="shared" si="545"/>
        <v>52</v>
      </c>
      <c r="M343" s="282">
        <v>0.25</v>
      </c>
      <c r="N343" s="22">
        <f t="shared" si="546"/>
        <v>0.5</v>
      </c>
      <c r="O343" s="268">
        <f t="shared" si="547"/>
        <v>26</v>
      </c>
      <c r="P343" s="23">
        <f t="shared" si="548"/>
        <v>117</v>
      </c>
      <c r="Q343" s="268">
        <f t="shared" si="549"/>
        <v>234</v>
      </c>
      <c r="R343" s="118"/>
    </row>
    <row r="344" spans="1:18" x14ac:dyDescent="0.35">
      <c r="A344" s="67" t="str">
        <f>IF(TRIM(G344)&lt;&gt;"",COUNTA(G$11:$G344)&amp;"","")</f>
        <v/>
      </c>
      <c r="B344" s="311"/>
      <c r="C344" s="311"/>
      <c r="D344" s="30"/>
      <c r="E344" s="52"/>
      <c r="F344" s="69"/>
      <c r="G344" s="70"/>
      <c r="H344" s="21"/>
      <c r="I344" s="47"/>
      <c r="J344" s="265"/>
      <c r="K344" s="268"/>
      <c r="L344" s="258"/>
      <c r="M344" s="282"/>
      <c r="N344" s="22"/>
      <c r="O344" s="268"/>
      <c r="P344" s="23"/>
      <c r="Q344" s="268"/>
      <c r="R344" s="118"/>
    </row>
    <row r="345" spans="1:18" x14ac:dyDescent="0.35">
      <c r="A345" s="67" t="str">
        <f>IF(TRIM(G345)&lt;&gt;"",COUNTA(G$11:$G345)&amp;"","")</f>
        <v>224</v>
      </c>
      <c r="B345" s="311"/>
      <c r="C345" s="311"/>
      <c r="D345" s="30"/>
      <c r="E345" s="244" t="s">
        <v>520</v>
      </c>
      <c r="F345" s="239">
        <v>6</v>
      </c>
      <c r="G345" s="245" t="s">
        <v>177</v>
      </c>
      <c r="H345" s="21"/>
      <c r="I345" s="47"/>
      <c r="J345" s="265"/>
      <c r="K345" s="268"/>
      <c r="L345" s="258"/>
      <c r="M345" s="282"/>
      <c r="N345" s="22"/>
      <c r="O345" s="268"/>
      <c r="P345" s="23"/>
      <c r="Q345" s="268"/>
      <c r="R345" s="118"/>
    </row>
    <row r="346" spans="1:18" x14ac:dyDescent="0.35">
      <c r="A346" s="67" t="str">
        <f>IF(TRIM(G346)&lt;&gt;"",COUNTA(G$11:$G346)&amp;"","")</f>
        <v>225</v>
      </c>
      <c r="B346" s="311"/>
      <c r="C346" s="311"/>
      <c r="D346" s="30"/>
      <c r="E346" s="52" t="s">
        <v>527</v>
      </c>
      <c r="F346" s="69">
        <v>1</v>
      </c>
      <c r="G346" s="70" t="s">
        <v>211</v>
      </c>
      <c r="H346" s="21">
        <f t="shared" ref="H346" si="550">IF(F346=0,"",0)</f>
        <v>0</v>
      </c>
      <c r="I346" s="47">
        <f t="shared" ref="I346" si="551">IF(F346=0,"",F346+(F346*H346))</f>
        <v>1</v>
      </c>
      <c r="J346" s="265">
        <v>52</v>
      </c>
      <c r="K346" s="268">
        <f t="shared" ref="K346" si="552">IF(F346=0,"",J346*I346)</f>
        <v>52</v>
      </c>
      <c r="L346" s="258">
        <f t="shared" ref="L346" si="553">IF(F346=0,"",L$231)</f>
        <v>52</v>
      </c>
      <c r="M346" s="282">
        <v>0.15</v>
      </c>
      <c r="N346" s="22">
        <f t="shared" ref="N346" si="554">IF(F346=0,"",M346*I346)</f>
        <v>0.15</v>
      </c>
      <c r="O346" s="268">
        <f t="shared" ref="O346" si="555">IF(F346=0,"",N346*L346)</f>
        <v>7.8</v>
      </c>
      <c r="P346" s="23">
        <f t="shared" ref="P346" si="556">IF(F346=0,"",(K346+O346)/I346)</f>
        <v>59.8</v>
      </c>
      <c r="Q346" s="268">
        <f t="shared" ref="Q346" si="557">IF(F346=0,"",(P346*I346))</f>
        <v>59.8</v>
      </c>
      <c r="R346" s="118"/>
    </row>
    <row r="347" spans="1:18" x14ac:dyDescent="0.35">
      <c r="A347" s="67" t="str">
        <f>IF(TRIM(G347)&lt;&gt;"",COUNTA(G$11:$G347)&amp;"","")</f>
        <v/>
      </c>
      <c r="B347" s="311"/>
      <c r="C347" s="311"/>
      <c r="D347" s="30"/>
      <c r="E347" s="52"/>
      <c r="F347" s="69"/>
      <c r="G347" s="70"/>
      <c r="H347" s="21"/>
      <c r="I347" s="47"/>
      <c r="J347" s="265"/>
      <c r="K347" s="268"/>
      <c r="L347" s="258"/>
      <c r="M347" s="282"/>
      <c r="N347" s="22"/>
      <c r="O347" s="268"/>
      <c r="P347" s="23"/>
      <c r="Q347" s="268"/>
      <c r="R347" s="118"/>
    </row>
    <row r="348" spans="1:18" x14ac:dyDescent="0.35">
      <c r="A348" s="67" t="str">
        <f>IF(TRIM(G348)&lt;&gt;"",COUNTA(G$11:$G348)&amp;"","")</f>
        <v>226</v>
      </c>
      <c r="B348" s="311"/>
      <c r="C348" s="311"/>
      <c r="D348" s="30"/>
      <c r="E348" s="244" t="s">
        <v>521</v>
      </c>
      <c r="F348" s="239">
        <v>22</v>
      </c>
      <c r="G348" s="245" t="s">
        <v>177</v>
      </c>
      <c r="H348" s="21"/>
      <c r="I348" s="47"/>
      <c r="J348" s="265"/>
      <c r="K348" s="268"/>
      <c r="L348" s="258"/>
      <c r="M348" s="282"/>
      <c r="N348" s="22"/>
      <c r="O348" s="268"/>
      <c r="P348" s="23"/>
      <c r="Q348" s="268"/>
      <c r="R348" s="118"/>
    </row>
    <row r="349" spans="1:18" x14ac:dyDescent="0.35">
      <c r="A349" s="67" t="str">
        <f>IF(TRIM(G349)&lt;&gt;"",COUNTA(G$11:$G349)&amp;"","")</f>
        <v>227</v>
      </c>
      <c r="B349" s="311"/>
      <c r="C349" s="311"/>
      <c r="D349" s="30"/>
      <c r="E349" s="52" t="s">
        <v>528</v>
      </c>
      <c r="F349" s="69">
        <v>1</v>
      </c>
      <c r="G349" s="70" t="s">
        <v>211</v>
      </c>
      <c r="H349" s="21">
        <f t="shared" ref="H349" si="558">IF(F349=0,"",0)</f>
        <v>0</v>
      </c>
      <c r="I349" s="47">
        <f t="shared" ref="I349" si="559">IF(F349=0,"",F349+(F349*H349))</f>
        <v>1</v>
      </c>
      <c r="J349" s="265">
        <v>616</v>
      </c>
      <c r="K349" s="268">
        <f t="shared" ref="K349" si="560">IF(F349=0,"",J349*I349)</f>
        <v>616</v>
      </c>
      <c r="L349" s="258">
        <f t="shared" ref="L349" si="561">IF(F349=0,"",L$231)</f>
        <v>52</v>
      </c>
      <c r="M349" s="282">
        <v>0.6</v>
      </c>
      <c r="N349" s="22">
        <f t="shared" ref="N349" si="562">IF(F349=0,"",M349*I349)</f>
        <v>0.6</v>
      </c>
      <c r="O349" s="268">
        <f t="shared" ref="O349" si="563">IF(F349=0,"",N349*L349)</f>
        <v>31.2</v>
      </c>
      <c r="P349" s="23">
        <f t="shared" ref="P349" si="564">IF(F349=0,"",(K349+O349)/I349)</f>
        <v>647.20000000000005</v>
      </c>
      <c r="Q349" s="268">
        <f t="shared" ref="Q349" si="565">IF(F349=0,"",(P349*I349))</f>
        <v>647.20000000000005</v>
      </c>
      <c r="R349" s="118"/>
    </row>
    <row r="350" spans="1:18" x14ac:dyDescent="0.35">
      <c r="A350" s="67" t="str">
        <f>IF(TRIM(G350)&lt;&gt;"",COUNTA(G$11:$G350)&amp;"","")</f>
        <v/>
      </c>
      <c r="B350" s="311"/>
      <c r="C350" s="311"/>
      <c r="D350" s="30"/>
      <c r="E350" s="52"/>
      <c r="F350" s="69"/>
      <c r="G350" s="70"/>
      <c r="H350" s="21"/>
      <c r="I350" s="47"/>
      <c r="J350" s="265"/>
      <c r="K350" s="268"/>
      <c r="L350" s="258"/>
      <c r="M350" s="282"/>
      <c r="N350" s="22"/>
      <c r="O350" s="268"/>
      <c r="P350" s="23"/>
      <c r="Q350" s="268"/>
      <c r="R350" s="118"/>
    </row>
    <row r="351" spans="1:18" x14ac:dyDescent="0.35">
      <c r="A351" s="67" t="str">
        <f>IF(TRIM(G351)&lt;&gt;"",COUNTA(G$11:$G351)&amp;"","")</f>
        <v>228</v>
      </c>
      <c r="B351" s="311"/>
      <c r="C351" s="311"/>
      <c r="D351" s="30"/>
      <c r="E351" s="244" t="s">
        <v>522</v>
      </c>
      <c r="F351" s="239">
        <v>44</v>
      </c>
      <c r="G351" s="245" t="s">
        <v>177</v>
      </c>
      <c r="H351" s="21"/>
      <c r="I351" s="47"/>
      <c r="J351" s="265"/>
      <c r="K351" s="268"/>
      <c r="L351" s="258"/>
      <c r="M351" s="282"/>
      <c r="N351" s="22"/>
      <c r="O351" s="268"/>
      <c r="P351" s="23"/>
      <c r="Q351" s="268"/>
      <c r="R351" s="118"/>
    </row>
    <row r="352" spans="1:18" x14ac:dyDescent="0.35">
      <c r="A352" s="67" t="str">
        <f>IF(TRIM(G352)&lt;&gt;"",COUNTA(G$11:$G352)&amp;"","")</f>
        <v>229</v>
      </c>
      <c r="B352" s="311"/>
      <c r="C352" s="311"/>
      <c r="D352" s="30"/>
      <c r="E352" s="52" t="s">
        <v>529</v>
      </c>
      <c r="F352" s="69">
        <v>2</v>
      </c>
      <c r="G352" s="70" t="s">
        <v>211</v>
      </c>
      <c r="H352" s="21">
        <f t="shared" ref="H352" si="566">IF(F352=0,"",0)</f>
        <v>0</v>
      </c>
      <c r="I352" s="47">
        <f t="shared" ref="I352" si="567">IF(F352=0,"",F352+(F352*H352))</f>
        <v>2</v>
      </c>
      <c r="J352" s="265">
        <v>396</v>
      </c>
      <c r="K352" s="268">
        <f t="shared" ref="K352" si="568">IF(F352=0,"",J352*I352)</f>
        <v>792</v>
      </c>
      <c r="L352" s="258">
        <f t="shared" ref="L352" si="569">IF(F352=0,"",L$231)</f>
        <v>52</v>
      </c>
      <c r="M352" s="282">
        <v>0.5</v>
      </c>
      <c r="N352" s="22">
        <f t="shared" ref="N352" si="570">IF(F352=0,"",M352*I352)</f>
        <v>1</v>
      </c>
      <c r="O352" s="268">
        <f t="shared" ref="O352" si="571">IF(F352=0,"",N352*L352)</f>
        <v>52</v>
      </c>
      <c r="P352" s="23">
        <f t="shared" ref="P352" si="572">IF(F352=0,"",(K352+O352)/I352)</f>
        <v>422</v>
      </c>
      <c r="Q352" s="268">
        <f t="shared" ref="Q352" si="573">IF(F352=0,"",(P352*I352))</f>
        <v>844</v>
      </c>
      <c r="R352" s="118"/>
    </row>
    <row r="353" spans="1:18" x14ac:dyDescent="0.35">
      <c r="A353" s="67" t="str">
        <f>IF(TRIM(G353)&lt;&gt;"",COUNTA(G$11:$G353)&amp;"","")</f>
        <v/>
      </c>
      <c r="B353" s="311"/>
      <c r="C353" s="311"/>
      <c r="D353" s="30"/>
      <c r="E353" s="52"/>
      <c r="F353" s="69"/>
      <c r="G353" s="70"/>
      <c r="H353" s="21"/>
      <c r="I353" s="47"/>
      <c r="J353" s="265"/>
      <c r="K353" s="268"/>
      <c r="L353" s="258"/>
      <c r="M353" s="282"/>
      <c r="N353" s="22"/>
      <c r="O353" s="268"/>
      <c r="P353" s="23"/>
      <c r="Q353" s="268"/>
      <c r="R353" s="118"/>
    </row>
    <row r="354" spans="1:18" x14ac:dyDescent="0.35">
      <c r="A354" s="67" t="str">
        <f>IF(TRIM(G354)&lt;&gt;"",COUNTA(G$11:$G354)&amp;"","")</f>
        <v/>
      </c>
      <c r="B354" s="311"/>
      <c r="C354" s="311"/>
      <c r="D354" s="30"/>
      <c r="E354" s="240" t="s">
        <v>540</v>
      </c>
      <c r="F354" s="69"/>
      <c r="G354" s="70"/>
      <c r="H354" s="21"/>
      <c r="I354" s="47"/>
      <c r="J354" s="265"/>
      <c r="K354" s="268"/>
      <c r="L354" s="258"/>
      <c r="M354" s="282"/>
      <c r="N354" s="22"/>
      <c r="O354" s="268"/>
      <c r="P354" s="23"/>
      <c r="Q354" s="268"/>
      <c r="R354" s="118"/>
    </row>
    <row r="355" spans="1:18" x14ac:dyDescent="0.35">
      <c r="A355" s="67" t="str">
        <f>IF(TRIM(G355)&lt;&gt;"",COUNTA(G$11:$G355)&amp;"","")</f>
        <v>230</v>
      </c>
      <c r="B355" s="311"/>
      <c r="C355" s="311"/>
      <c r="D355" s="30"/>
      <c r="E355" s="244" t="s">
        <v>531</v>
      </c>
      <c r="F355" s="239">
        <v>283.94</v>
      </c>
      <c r="G355" s="245" t="s">
        <v>163</v>
      </c>
      <c r="H355" s="21"/>
      <c r="I355" s="47"/>
      <c r="J355" s="265"/>
      <c r="K355" s="268"/>
      <c r="L355" s="258"/>
      <c r="M355" s="282"/>
      <c r="N355" s="22"/>
      <c r="O355" s="268"/>
      <c r="P355" s="23"/>
      <c r="Q355" s="268"/>
      <c r="R355" s="118"/>
    </row>
    <row r="356" spans="1:18" x14ac:dyDescent="0.35">
      <c r="A356" s="67" t="str">
        <f>IF(TRIM(G356)&lt;&gt;"",COUNTA(G$11:$G356)&amp;"","")</f>
        <v>231</v>
      </c>
      <c r="B356" s="311"/>
      <c r="C356" s="311"/>
      <c r="D356" s="30"/>
      <c r="E356" s="52" t="s">
        <v>532</v>
      </c>
      <c r="F356" s="69">
        <v>19</v>
      </c>
      <c r="G356" s="70" t="s">
        <v>211</v>
      </c>
      <c r="H356" s="21">
        <f t="shared" ref="H356" si="574">IF(F356=0,"",0)</f>
        <v>0</v>
      </c>
      <c r="I356" s="47">
        <f t="shared" ref="I356" si="575">IF(F356=0,"",F356+(F356*H356))</f>
        <v>19</v>
      </c>
      <c r="J356" s="265">
        <v>64</v>
      </c>
      <c r="K356" s="268">
        <f t="shared" ref="K356" si="576">IF(F356=0,"",J356*I356)</f>
        <v>1216</v>
      </c>
      <c r="L356" s="258">
        <f t="shared" ref="L356" si="577">IF(F356=0,"",L$231)</f>
        <v>52</v>
      </c>
      <c r="M356" s="282">
        <v>0.2</v>
      </c>
      <c r="N356" s="22">
        <f t="shared" ref="N356" si="578">IF(F356=0,"",M356*I356)</f>
        <v>3.8000000000000003</v>
      </c>
      <c r="O356" s="268">
        <f t="shared" ref="O356" si="579">IF(F356=0,"",N356*L356)</f>
        <v>197.60000000000002</v>
      </c>
      <c r="P356" s="23">
        <f t="shared" ref="P356" si="580">IF(F356=0,"",(K356+O356)/I356)</f>
        <v>74.399999999999991</v>
      </c>
      <c r="Q356" s="268">
        <f t="shared" ref="Q356" si="581">IF(F356=0,"",(P356*I356))</f>
        <v>1413.6</v>
      </c>
      <c r="R356" s="118"/>
    </row>
    <row r="357" spans="1:18" x14ac:dyDescent="0.35">
      <c r="A357" s="67" t="str">
        <f>IF(TRIM(G357)&lt;&gt;"",COUNTA(G$11:$G357)&amp;"","")</f>
        <v/>
      </c>
      <c r="B357" s="311"/>
      <c r="C357" s="311"/>
      <c r="D357" s="30"/>
      <c r="E357" s="52"/>
      <c r="F357" s="69"/>
      <c r="G357" s="70"/>
      <c r="H357" s="21"/>
      <c r="I357" s="47"/>
      <c r="J357" s="265"/>
      <c r="K357" s="268"/>
      <c r="L357" s="258"/>
      <c r="M357" s="282"/>
      <c r="N357" s="22"/>
      <c r="O357" s="268"/>
      <c r="P357" s="23"/>
      <c r="Q357" s="268"/>
      <c r="R357" s="118"/>
    </row>
    <row r="358" spans="1:18" x14ac:dyDescent="0.35">
      <c r="A358" s="67" t="str">
        <f>IF(TRIM(G358)&lt;&gt;"",COUNTA(G$11:$G358)&amp;"","")</f>
        <v>232</v>
      </c>
      <c r="B358" s="311"/>
      <c r="C358" s="311"/>
      <c r="D358" s="30"/>
      <c r="E358" s="244" t="s">
        <v>541</v>
      </c>
      <c r="F358" s="239">
        <v>324.88</v>
      </c>
      <c r="G358" s="245" t="s">
        <v>163</v>
      </c>
      <c r="H358" s="21"/>
      <c r="I358" s="47"/>
      <c r="J358" s="265"/>
      <c r="K358" s="268"/>
      <c r="L358" s="258"/>
      <c r="M358" s="282"/>
      <c r="N358" s="22"/>
      <c r="O358" s="268"/>
      <c r="P358" s="23"/>
      <c r="Q358" s="268"/>
      <c r="R358" s="118"/>
    </row>
    <row r="359" spans="1:18" x14ac:dyDescent="0.35">
      <c r="A359" s="67" t="str">
        <f>IF(TRIM(G359)&lt;&gt;"",COUNTA(G$11:$G359)&amp;"","")</f>
        <v>233</v>
      </c>
      <c r="B359" s="311"/>
      <c r="C359" s="311"/>
      <c r="D359" s="30"/>
      <c r="E359" s="52" t="s">
        <v>542</v>
      </c>
      <c r="F359" s="69">
        <v>10</v>
      </c>
      <c r="G359" s="70" t="s">
        <v>211</v>
      </c>
      <c r="H359" s="21">
        <f t="shared" ref="H359:H360" si="582">IF(F359=0,"",0)</f>
        <v>0</v>
      </c>
      <c r="I359" s="47">
        <f t="shared" ref="I359:I360" si="583">IF(F359=0,"",F359+(F359*H359))</f>
        <v>10</v>
      </c>
      <c r="J359" s="265">
        <v>80</v>
      </c>
      <c r="K359" s="268">
        <f t="shared" ref="K359:K360" si="584">IF(F359=0,"",J359*I359)</f>
        <v>800</v>
      </c>
      <c r="L359" s="258">
        <f t="shared" ref="L359:L360" si="585">IF(F359=0,"",L$231)</f>
        <v>52</v>
      </c>
      <c r="M359" s="282">
        <v>0.2</v>
      </c>
      <c r="N359" s="22">
        <f t="shared" ref="N359:N360" si="586">IF(F359=0,"",M359*I359)</f>
        <v>2</v>
      </c>
      <c r="O359" s="268">
        <f t="shared" ref="O359:O360" si="587">IF(F359=0,"",N359*L359)</f>
        <v>104</v>
      </c>
      <c r="P359" s="23">
        <f t="shared" ref="P359:P360" si="588">IF(F359=0,"",(K359+O359)/I359)</f>
        <v>90.4</v>
      </c>
      <c r="Q359" s="268">
        <f t="shared" ref="Q359:Q360" si="589">IF(F359=0,"",(P359*I359))</f>
        <v>904</v>
      </c>
      <c r="R359" s="118"/>
    </row>
    <row r="360" spans="1:18" x14ac:dyDescent="0.35">
      <c r="A360" s="67" t="str">
        <f>IF(TRIM(G360)&lt;&gt;"",COUNTA(G$11:$G360)&amp;"","")</f>
        <v>234</v>
      </c>
      <c r="B360" s="311"/>
      <c r="C360" s="311"/>
      <c r="D360" s="30"/>
      <c r="E360" s="52" t="s">
        <v>543</v>
      </c>
      <c r="F360" s="69">
        <v>10</v>
      </c>
      <c r="G360" s="70" t="s">
        <v>211</v>
      </c>
      <c r="H360" s="21">
        <f t="shared" si="582"/>
        <v>0</v>
      </c>
      <c r="I360" s="47">
        <f t="shared" si="583"/>
        <v>10</v>
      </c>
      <c r="J360" s="265">
        <v>120</v>
      </c>
      <c r="K360" s="268">
        <f t="shared" si="584"/>
        <v>1200</v>
      </c>
      <c r="L360" s="258">
        <f t="shared" si="585"/>
        <v>52</v>
      </c>
      <c r="M360" s="282">
        <v>0.25</v>
      </c>
      <c r="N360" s="22">
        <f t="shared" si="586"/>
        <v>2.5</v>
      </c>
      <c r="O360" s="268">
        <f t="shared" si="587"/>
        <v>130</v>
      </c>
      <c r="P360" s="23">
        <f t="shared" si="588"/>
        <v>133</v>
      </c>
      <c r="Q360" s="268">
        <f t="shared" si="589"/>
        <v>1330</v>
      </c>
      <c r="R360" s="118"/>
    </row>
    <row r="361" spans="1:18" x14ac:dyDescent="0.35">
      <c r="A361" s="67" t="str">
        <f>IF(TRIM(G361)&lt;&gt;"",COUNTA(G$11:$G361)&amp;"","")</f>
        <v/>
      </c>
      <c r="B361" s="311"/>
      <c r="C361" s="311"/>
      <c r="D361" s="30"/>
      <c r="E361" s="52"/>
      <c r="F361" s="69"/>
      <c r="G361" s="70"/>
      <c r="H361" s="21"/>
      <c r="I361" s="47"/>
      <c r="J361" s="265"/>
      <c r="K361" s="268"/>
      <c r="L361" s="258"/>
      <c r="M361" s="282"/>
      <c r="N361" s="22"/>
      <c r="O361" s="268"/>
      <c r="P361" s="23"/>
      <c r="Q361" s="268"/>
      <c r="R361" s="118"/>
    </row>
    <row r="362" spans="1:18" x14ac:dyDescent="0.35">
      <c r="A362" s="67" t="str">
        <f>IF(TRIM(G362)&lt;&gt;"",COUNTA(G$11:$G362)&amp;"","")</f>
        <v/>
      </c>
      <c r="B362" s="311"/>
      <c r="C362" s="311"/>
      <c r="D362" s="30"/>
      <c r="E362" s="240" t="s">
        <v>530</v>
      </c>
      <c r="F362" s="69"/>
      <c r="G362" s="70"/>
      <c r="H362" s="21"/>
      <c r="I362" s="47"/>
      <c r="J362" s="265"/>
      <c r="K362" s="268"/>
      <c r="L362" s="258"/>
      <c r="M362" s="282"/>
      <c r="N362" s="22"/>
      <c r="O362" s="268"/>
      <c r="P362" s="23"/>
      <c r="Q362" s="268"/>
      <c r="R362" s="118"/>
    </row>
    <row r="363" spans="1:18" x14ac:dyDescent="0.35">
      <c r="A363" s="67" t="str">
        <f>IF(TRIM(G363)&lt;&gt;"",COUNTA(G$11:$G363)&amp;"","")</f>
        <v>235</v>
      </c>
      <c r="B363" s="311"/>
      <c r="C363" s="311"/>
      <c r="D363" s="30"/>
      <c r="E363" s="244" t="s">
        <v>537</v>
      </c>
      <c r="F363" s="239">
        <v>779.19</v>
      </c>
      <c r="G363" s="245" t="s">
        <v>163</v>
      </c>
      <c r="H363" s="21"/>
      <c r="I363" s="47"/>
      <c r="J363" s="265"/>
      <c r="K363" s="268"/>
      <c r="L363" s="258"/>
      <c r="M363" s="282"/>
      <c r="N363" s="22"/>
      <c r="O363" s="268"/>
      <c r="P363" s="23"/>
      <c r="Q363" s="268"/>
      <c r="R363" s="118"/>
    </row>
    <row r="364" spans="1:18" x14ac:dyDescent="0.35">
      <c r="A364" s="67" t="str">
        <f>IF(TRIM(G364)&lt;&gt;"",COUNTA(G$11:$G364)&amp;"","")</f>
        <v>236</v>
      </c>
      <c r="B364" s="311"/>
      <c r="C364" s="311"/>
      <c r="D364" s="30"/>
      <c r="E364" s="52" t="s">
        <v>535</v>
      </c>
      <c r="F364" s="69">
        <f>11+8</f>
        <v>19</v>
      </c>
      <c r="G364" s="70" t="s">
        <v>211</v>
      </c>
      <c r="H364" s="21">
        <f t="shared" ref="H364:H367" si="590">IF(F364=0,"",0)</f>
        <v>0</v>
      </c>
      <c r="I364" s="47">
        <f t="shared" ref="I364:I367" si="591">IF(F364=0,"",F364+(F364*H364))</f>
        <v>19</v>
      </c>
      <c r="J364" s="265">
        <v>28</v>
      </c>
      <c r="K364" s="268">
        <f t="shared" ref="K364:K367" si="592">IF(F364=0,"",J364*I364)</f>
        <v>532</v>
      </c>
      <c r="L364" s="258">
        <f t="shared" ref="L364:L367" si="593">IF(F364=0,"",L$231)</f>
        <v>52</v>
      </c>
      <c r="M364" s="282">
        <v>0.08</v>
      </c>
      <c r="N364" s="22">
        <f t="shared" ref="N364:N367" si="594">IF(F364=0,"",M364*I364)</f>
        <v>1.52</v>
      </c>
      <c r="O364" s="268">
        <f t="shared" ref="O364:O367" si="595">IF(F364=0,"",N364*L364)</f>
        <v>79.040000000000006</v>
      </c>
      <c r="P364" s="23">
        <f t="shared" ref="P364:P367" si="596">IF(F364=0,"",(K364+O364)/I364)</f>
        <v>32.159999999999997</v>
      </c>
      <c r="Q364" s="268">
        <f t="shared" ref="Q364:Q367" si="597">IF(F364=0,"",(P364*I364))</f>
        <v>611.04</v>
      </c>
      <c r="R364" s="118"/>
    </row>
    <row r="365" spans="1:18" x14ac:dyDescent="0.35">
      <c r="A365" s="67" t="str">
        <f>IF(TRIM(G365)&lt;&gt;"",COUNTA(G$11:$G365)&amp;"","")</f>
        <v>237</v>
      </c>
      <c r="B365" s="311"/>
      <c r="C365" s="311"/>
      <c r="D365" s="30"/>
      <c r="E365" s="52" t="s">
        <v>533</v>
      </c>
      <c r="F365" s="69">
        <f>17+5</f>
        <v>22</v>
      </c>
      <c r="G365" s="70" t="s">
        <v>211</v>
      </c>
      <c r="H365" s="21">
        <f t="shared" si="590"/>
        <v>0</v>
      </c>
      <c r="I365" s="47">
        <f t="shared" si="591"/>
        <v>22</v>
      </c>
      <c r="J365" s="265">
        <v>35</v>
      </c>
      <c r="K365" s="268">
        <f t="shared" si="592"/>
        <v>770</v>
      </c>
      <c r="L365" s="258">
        <f t="shared" si="593"/>
        <v>52</v>
      </c>
      <c r="M365" s="282">
        <v>0.1</v>
      </c>
      <c r="N365" s="22">
        <f t="shared" si="594"/>
        <v>2.2000000000000002</v>
      </c>
      <c r="O365" s="268">
        <f t="shared" si="595"/>
        <v>114.4</v>
      </c>
      <c r="P365" s="23">
        <f t="shared" si="596"/>
        <v>40.199999999999996</v>
      </c>
      <c r="Q365" s="268">
        <f t="shared" si="597"/>
        <v>884.39999999999986</v>
      </c>
      <c r="R365" s="118"/>
    </row>
    <row r="366" spans="1:18" x14ac:dyDescent="0.35">
      <c r="A366" s="67" t="str">
        <f>IF(TRIM(G366)&lt;&gt;"",COUNTA(G$11:$G366)&amp;"","")</f>
        <v>238</v>
      </c>
      <c r="B366" s="311"/>
      <c r="C366" s="311"/>
      <c r="D366" s="30"/>
      <c r="E366" s="52" t="s">
        <v>534</v>
      </c>
      <c r="F366" s="69">
        <f>17+6+7</f>
        <v>30</v>
      </c>
      <c r="G366" s="70" t="s">
        <v>211</v>
      </c>
      <c r="H366" s="21">
        <f t="shared" si="590"/>
        <v>0</v>
      </c>
      <c r="I366" s="47">
        <f t="shared" si="591"/>
        <v>30</v>
      </c>
      <c r="J366" s="265">
        <v>42</v>
      </c>
      <c r="K366" s="268">
        <f t="shared" si="592"/>
        <v>1260</v>
      </c>
      <c r="L366" s="258">
        <f t="shared" si="593"/>
        <v>52</v>
      </c>
      <c r="M366" s="282">
        <v>0.12</v>
      </c>
      <c r="N366" s="22">
        <f t="shared" si="594"/>
        <v>3.5999999999999996</v>
      </c>
      <c r="O366" s="268">
        <f t="shared" si="595"/>
        <v>187.2</v>
      </c>
      <c r="P366" s="23">
        <f t="shared" si="596"/>
        <v>48.24</v>
      </c>
      <c r="Q366" s="268">
        <f t="shared" si="597"/>
        <v>1447.2</v>
      </c>
      <c r="R366" s="118"/>
    </row>
    <row r="367" spans="1:18" x14ac:dyDescent="0.35">
      <c r="A367" s="67" t="str">
        <f>IF(TRIM(G367)&lt;&gt;"",COUNTA(G$11:$G367)&amp;"","")</f>
        <v>239</v>
      </c>
      <c r="B367" s="311"/>
      <c r="C367" s="311"/>
      <c r="D367" s="30"/>
      <c r="E367" s="52" t="s">
        <v>536</v>
      </c>
      <c r="F367" s="69">
        <v>2</v>
      </c>
      <c r="G367" s="70" t="s">
        <v>211</v>
      </c>
      <c r="H367" s="21">
        <f t="shared" si="590"/>
        <v>0</v>
      </c>
      <c r="I367" s="47">
        <f t="shared" si="591"/>
        <v>2</v>
      </c>
      <c r="J367" s="265">
        <v>56</v>
      </c>
      <c r="K367" s="268">
        <f t="shared" si="592"/>
        <v>112</v>
      </c>
      <c r="L367" s="258">
        <f t="shared" si="593"/>
        <v>52</v>
      </c>
      <c r="M367" s="282">
        <v>0.15</v>
      </c>
      <c r="N367" s="22">
        <f t="shared" si="594"/>
        <v>0.3</v>
      </c>
      <c r="O367" s="268">
        <f t="shared" si="595"/>
        <v>15.6</v>
      </c>
      <c r="P367" s="23">
        <f t="shared" si="596"/>
        <v>63.8</v>
      </c>
      <c r="Q367" s="268">
        <f t="shared" si="597"/>
        <v>127.6</v>
      </c>
      <c r="R367" s="118"/>
    </row>
    <row r="368" spans="1:18" x14ac:dyDescent="0.35">
      <c r="A368" s="67" t="str">
        <f>IF(TRIM(G368)&lt;&gt;"",COUNTA(G$11:$G368)&amp;"","")</f>
        <v/>
      </c>
      <c r="B368" s="311"/>
      <c r="C368" s="311"/>
      <c r="D368" s="30"/>
      <c r="E368" s="52"/>
      <c r="F368" s="69"/>
      <c r="G368" s="70"/>
      <c r="H368" s="21"/>
      <c r="I368" s="47"/>
      <c r="J368" s="265"/>
      <c r="K368" s="268"/>
      <c r="L368" s="258"/>
      <c r="M368" s="282"/>
      <c r="N368" s="22"/>
      <c r="O368" s="268"/>
      <c r="P368" s="23"/>
      <c r="Q368" s="268"/>
      <c r="R368" s="118"/>
    </row>
    <row r="369" spans="1:18" x14ac:dyDescent="0.35">
      <c r="A369" s="67" t="str">
        <f>IF(TRIM(G369)&lt;&gt;"",COUNTA(G$11:$G369)&amp;"","")</f>
        <v/>
      </c>
      <c r="B369" s="311"/>
      <c r="C369" s="311"/>
      <c r="D369" s="30"/>
      <c r="E369" s="240" t="s">
        <v>538</v>
      </c>
      <c r="F369" s="69"/>
      <c r="G369" s="70"/>
      <c r="H369" s="21"/>
      <c r="I369" s="47"/>
      <c r="J369" s="265"/>
      <c r="K369" s="268"/>
      <c r="L369" s="258"/>
      <c r="M369" s="282"/>
      <c r="N369" s="22"/>
      <c r="O369" s="268"/>
      <c r="P369" s="23"/>
      <c r="Q369" s="268"/>
      <c r="R369" s="118"/>
    </row>
    <row r="370" spans="1:18" x14ac:dyDescent="0.35">
      <c r="A370" s="67" t="str">
        <f>IF(TRIM(G370)&lt;&gt;"",COUNTA(G$11:$G370)&amp;"","")</f>
        <v>240</v>
      </c>
      <c r="B370" s="311"/>
      <c r="C370" s="311"/>
      <c r="D370" s="30"/>
      <c r="E370" s="244" t="s">
        <v>579</v>
      </c>
      <c r="F370" s="239">
        <v>91.53</v>
      </c>
      <c r="G370" s="245" t="s">
        <v>163</v>
      </c>
      <c r="H370" s="21"/>
      <c r="I370" s="47"/>
      <c r="J370" s="265"/>
      <c r="K370" s="268"/>
      <c r="L370" s="258"/>
      <c r="M370" s="282"/>
      <c r="N370" s="22"/>
      <c r="O370" s="268"/>
      <c r="P370" s="23"/>
      <c r="Q370" s="268"/>
      <c r="R370" s="118"/>
    </row>
    <row r="371" spans="1:18" x14ac:dyDescent="0.35">
      <c r="A371" s="67" t="str">
        <f>IF(TRIM(G371)&lt;&gt;"",COUNTA(G$11:$G371)&amp;"","")</f>
        <v>241</v>
      </c>
      <c r="B371" s="311"/>
      <c r="C371" s="311"/>
      <c r="D371" s="30"/>
      <c r="E371" s="52" t="s">
        <v>539</v>
      </c>
      <c r="F371" s="69">
        <v>14</v>
      </c>
      <c r="G371" s="70" t="s">
        <v>211</v>
      </c>
      <c r="H371" s="21">
        <f t="shared" ref="H371" si="598">IF(F371=0,"",0)</f>
        <v>0</v>
      </c>
      <c r="I371" s="47">
        <f t="shared" ref="I371" si="599">IF(F371=0,"",F371+(F371*H371))</f>
        <v>14</v>
      </c>
      <c r="J371" s="265">
        <v>12</v>
      </c>
      <c r="K371" s="268">
        <f t="shared" ref="K371" si="600">IF(F371=0,"",J371*I371)</f>
        <v>168</v>
      </c>
      <c r="L371" s="258">
        <f t="shared" ref="L371" si="601">IF(F371=0,"",L$231)</f>
        <v>52</v>
      </c>
      <c r="M371" s="282">
        <v>0.05</v>
      </c>
      <c r="N371" s="22">
        <f t="shared" ref="N371" si="602">IF(F371=0,"",M371*I371)</f>
        <v>0.70000000000000007</v>
      </c>
      <c r="O371" s="268">
        <f t="shared" ref="O371" si="603">IF(F371=0,"",N371*L371)</f>
        <v>36.400000000000006</v>
      </c>
      <c r="P371" s="23">
        <f t="shared" ref="P371" si="604">IF(F371=0,"",(K371+O371)/I371)</f>
        <v>14.6</v>
      </c>
      <c r="Q371" s="268">
        <f t="shared" ref="Q371" si="605">IF(F371=0,"",(P371*I371))</f>
        <v>204.4</v>
      </c>
      <c r="R371" s="118"/>
    </row>
    <row r="372" spans="1:18" x14ac:dyDescent="0.35">
      <c r="A372" s="67" t="str">
        <f>IF(TRIM(G372)&lt;&gt;"",COUNTA(G$11:$G372)&amp;"","")</f>
        <v/>
      </c>
      <c r="B372" s="311"/>
      <c r="C372" s="311"/>
      <c r="D372" s="30"/>
      <c r="E372" s="52"/>
      <c r="F372" s="69"/>
      <c r="G372" s="70"/>
      <c r="H372" s="21"/>
      <c r="I372" s="47"/>
      <c r="J372" s="265"/>
      <c r="K372" s="268"/>
      <c r="L372" s="258"/>
      <c r="M372" s="282"/>
      <c r="N372" s="22"/>
      <c r="O372" s="268"/>
      <c r="P372" s="23"/>
      <c r="Q372" s="268"/>
      <c r="R372" s="118"/>
    </row>
    <row r="373" spans="1:18" x14ac:dyDescent="0.35">
      <c r="A373" s="67" t="str">
        <f>IF(TRIM(G373)&lt;&gt;"",COUNTA(G$11:$G373)&amp;"","")</f>
        <v/>
      </c>
      <c r="B373" s="311"/>
      <c r="C373" s="311"/>
      <c r="D373" s="30"/>
      <c r="E373" s="240" t="s">
        <v>563</v>
      </c>
      <c r="F373" s="69"/>
      <c r="G373" s="70"/>
      <c r="H373" s="21"/>
      <c r="I373" s="47"/>
      <c r="J373" s="265"/>
      <c r="K373" s="268"/>
      <c r="L373" s="258"/>
      <c r="M373" s="282"/>
      <c r="N373" s="22"/>
      <c r="O373" s="268"/>
      <c r="P373" s="23"/>
      <c r="Q373" s="268"/>
      <c r="R373" s="118"/>
    </row>
    <row r="374" spans="1:18" ht="15" x14ac:dyDescent="0.35">
      <c r="A374" s="67" t="str">
        <f>IF(TRIM(G374)&lt;&gt;"",COUNTA(G$11:$G374)&amp;"","")</f>
        <v>242</v>
      </c>
      <c r="B374" s="311"/>
      <c r="C374" s="311"/>
      <c r="D374" s="30"/>
      <c r="E374" s="252" t="s">
        <v>485</v>
      </c>
      <c r="F374" s="253">
        <v>1006</v>
      </c>
      <c r="G374" s="245" t="s">
        <v>163</v>
      </c>
      <c r="H374" s="21"/>
      <c r="I374" s="47"/>
      <c r="J374" s="265"/>
      <c r="K374" s="268"/>
      <c r="L374" s="258"/>
      <c r="M374" s="282"/>
      <c r="N374" s="22"/>
      <c r="O374" s="268"/>
      <c r="P374" s="23"/>
      <c r="Q374" s="268"/>
      <c r="R374" s="118"/>
    </row>
    <row r="375" spans="1:18" ht="15.5" x14ac:dyDescent="0.35">
      <c r="A375" s="67" t="str">
        <f>IF(TRIM(G375)&lt;&gt;"",COUNTA(G$11:$G375)&amp;"","")</f>
        <v>243</v>
      </c>
      <c r="B375" s="311"/>
      <c r="C375" s="311"/>
      <c r="D375" s="30"/>
      <c r="E375" s="254" t="s">
        <v>483</v>
      </c>
      <c r="F375" s="255">
        <f>ROUNDUP(F374/32,0)</f>
        <v>32</v>
      </c>
      <c r="G375" s="70" t="s">
        <v>211</v>
      </c>
      <c r="H375" s="21">
        <f t="shared" ref="H375:H376" si="606">IF(F375=0,"",0)</f>
        <v>0</v>
      </c>
      <c r="I375" s="47">
        <f t="shared" ref="I375:I376" si="607">IF(F375=0,"",F375+(F375*H375))</f>
        <v>32</v>
      </c>
      <c r="J375" s="265">
        <v>35</v>
      </c>
      <c r="K375" s="268">
        <f t="shared" ref="K375:K376" si="608">IF(F375=0,"",J375*I375)</f>
        <v>1120</v>
      </c>
      <c r="L375" s="258">
        <f t="shared" ref="L375:L376" si="609">IF(F375=0,"",L$231)</f>
        <v>52</v>
      </c>
      <c r="M375" s="282">
        <v>0.1</v>
      </c>
      <c r="N375" s="22">
        <f t="shared" ref="N375:N376" si="610">IF(F375=0,"",M375*I375)</f>
        <v>3.2</v>
      </c>
      <c r="O375" s="268">
        <f t="shared" ref="O375:O376" si="611">IF(F375=0,"",N375*L375)</f>
        <v>166.4</v>
      </c>
      <c r="P375" s="23">
        <f t="shared" ref="P375:P376" si="612">IF(F375=0,"",(K375+O375)/I375)</f>
        <v>40.200000000000003</v>
      </c>
      <c r="Q375" s="268">
        <f t="shared" ref="Q375:Q376" si="613">IF(F375=0,"",(P375*I375))</f>
        <v>1286.4000000000001</v>
      </c>
      <c r="R375" s="118"/>
    </row>
    <row r="376" spans="1:18" ht="15.5" x14ac:dyDescent="0.35">
      <c r="A376" s="67" t="str">
        <f>IF(TRIM(G376)&lt;&gt;"",COUNTA(G$11:$G376)&amp;"","")</f>
        <v>244</v>
      </c>
      <c r="B376" s="311"/>
      <c r="C376" s="311"/>
      <c r="D376" s="30"/>
      <c r="E376" s="254" t="s">
        <v>484</v>
      </c>
      <c r="F376" s="255">
        <f>F375*75</f>
        <v>2400</v>
      </c>
      <c r="G376" s="70" t="s">
        <v>211</v>
      </c>
      <c r="H376" s="21">
        <f t="shared" si="606"/>
        <v>0</v>
      </c>
      <c r="I376" s="47">
        <f t="shared" si="607"/>
        <v>2400</v>
      </c>
      <c r="J376" s="265">
        <v>0.02</v>
      </c>
      <c r="K376" s="268">
        <f t="shared" si="608"/>
        <v>48</v>
      </c>
      <c r="L376" s="258">
        <f t="shared" si="609"/>
        <v>52</v>
      </c>
      <c r="M376" s="282">
        <v>1E-3</v>
      </c>
      <c r="N376" s="22">
        <f t="shared" si="610"/>
        <v>2.4</v>
      </c>
      <c r="O376" s="268">
        <f t="shared" si="611"/>
        <v>124.8</v>
      </c>
      <c r="P376" s="23">
        <f t="shared" si="612"/>
        <v>7.2000000000000008E-2</v>
      </c>
      <c r="Q376" s="268">
        <f t="shared" si="613"/>
        <v>172.8</v>
      </c>
      <c r="R376" s="118"/>
    </row>
    <row r="377" spans="1:18" x14ac:dyDescent="0.35">
      <c r="A377" s="67" t="str">
        <f>IF(TRIM(G377)&lt;&gt;"",COUNTA(G$11:$G377)&amp;"","")</f>
        <v/>
      </c>
      <c r="B377" s="311"/>
      <c r="C377" s="311"/>
      <c r="D377" s="30"/>
      <c r="E377" s="52"/>
      <c r="F377" s="69"/>
      <c r="G377" s="70"/>
      <c r="H377" s="21"/>
      <c r="I377" s="47"/>
      <c r="J377" s="265"/>
      <c r="K377" s="268"/>
      <c r="L377" s="258"/>
      <c r="M377" s="282"/>
      <c r="N377" s="22"/>
      <c r="O377" s="268"/>
      <c r="P377" s="23"/>
      <c r="Q377" s="268"/>
      <c r="R377" s="118"/>
    </row>
    <row r="378" spans="1:18" x14ac:dyDescent="0.35">
      <c r="A378" s="67" t="str">
        <f>IF(TRIM(G378)&lt;&gt;"",COUNTA(G$11:$G378)&amp;"","")</f>
        <v/>
      </c>
      <c r="B378" s="311"/>
      <c r="C378" s="311"/>
      <c r="D378" s="30"/>
      <c r="E378" s="240" t="s">
        <v>544</v>
      </c>
      <c r="F378" s="69"/>
      <c r="G378" s="70"/>
      <c r="H378" s="21"/>
      <c r="I378" s="47"/>
      <c r="J378" s="265"/>
      <c r="K378" s="268"/>
      <c r="L378" s="258"/>
      <c r="M378" s="282"/>
      <c r="N378" s="22"/>
      <c r="O378" s="268"/>
      <c r="P378" s="23"/>
      <c r="Q378" s="268"/>
      <c r="R378" s="118"/>
    </row>
    <row r="379" spans="1:18" x14ac:dyDescent="0.35">
      <c r="A379" s="67" t="str">
        <f>IF(TRIM(G379)&lt;&gt;"",COUNTA(G$11:$G379)&amp;"","")</f>
        <v>245</v>
      </c>
      <c r="B379" s="311"/>
      <c r="C379" s="311"/>
      <c r="D379" s="30"/>
      <c r="E379" s="52" t="s">
        <v>545</v>
      </c>
      <c r="F379" s="69">
        <f>((35.42*1.67)/1)/16</f>
        <v>3.6969625000000002</v>
      </c>
      <c r="G379" s="70" t="s">
        <v>211</v>
      </c>
      <c r="H379" s="21">
        <f t="shared" ref="H379" si="614">IF(F379=0,"",0)</f>
        <v>0</v>
      </c>
      <c r="I379" s="47">
        <f t="shared" ref="I379" si="615">IF(F379=0,"",F379+(F379*H379))</f>
        <v>3.6969625000000002</v>
      </c>
      <c r="J379" s="265">
        <v>48</v>
      </c>
      <c r="K379" s="268">
        <f t="shared" ref="K379" si="616">IF(F379=0,"",J379*I379)</f>
        <v>177.45420000000001</v>
      </c>
      <c r="L379" s="258">
        <f t="shared" ref="L379" si="617">IF(F379=0,"",L$231)</f>
        <v>52</v>
      </c>
      <c r="M379" s="282">
        <v>0.15</v>
      </c>
      <c r="N379" s="22">
        <f t="shared" ref="N379" si="618">IF(F379=0,"",M379*I379)</f>
        <v>0.55454437499999998</v>
      </c>
      <c r="O379" s="268">
        <f t="shared" ref="O379" si="619">IF(F379=0,"",N379*L379)</f>
        <v>28.8363075</v>
      </c>
      <c r="P379" s="23">
        <f t="shared" ref="P379" si="620">IF(F379=0,"",(K379+O379)/I379)</f>
        <v>55.800000000000004</v>
      </c>
      <c r="Q379" s="268">
        <f t="shared" ref="Q379" si="621">IF(F379=0,"",(P379*I379))</f>
        <v>206.29050750000002</v>
      </c>
      <c r="R379" s="118"/>
    </row>
    <row r="380" spans="1:18" x14ac:dyDescent="0.35">
      <c r="A380" s="67" t="str">
        <f>IF(TRIM(G380)&lt;&gt;"",COUNTA(G$11:$G380)&amp;"","")</f>
        <v/>
      </c>
      <c r="B380" s="311"/>
      <c r="C380" s="311"/>
      <c r="D380" s="30"/>
      <c r="E380" s="52"/>
      <c r="F380" s="69"/>
      <c r="G380" s="70"/>
      <c r="H380" s="21"/>
      <c r="I380" s="47"/>
      <c r="J380" s="265"/>
      <c r="K380" s="268"/>
      <c r="L380" s="258"/>
      <c r="M380" s="282"/>
      <c r="N380" s="22"/>
      <c r="O380" s="268"/>
      <c r="P380" s="23"/>
      <c r="Q380" s="268"/>
      <c r="R380" s="118"/>
    </row>
    <row r="381" spans="1:18" x14ac:dyDescent="0.35">
      <c r="A381" s="67" t="str">
        <f>IF(TRIM(G381)&lt;&gt;"",COUNTA(G$11:$G381)&amp;"","")</f>
        <v/>
      </c>
      <c r="B381" s="311"/>
      <c r="C381" s="311"/>
      <c r="D381" s="30"/>
      <c r="E381" s="240" t="s">
        <v>554</v>
      </c>
      <c r="F381" s="69"/>
      <c r="G381" s="70"/>
      <c r="H381" s="21"/>
      <c r="I381" s="47"/>
      <c r="J381" s="265"/>
      <c r="K381" s="268"/>
      <c r="L381" s="258"/>
      <c r="M381" s="282"/>
      <c r="N381" s="22"/>
      <c r="O381" s="268"/>
      <c r="P381" s="23"/>
      <c r="Q381" s="268"/>
      <c r="R381" s="118"/>
    </row>
    <row r="382" spans="1:18" x14ac:dyDescent="0.35">
      <c r="A382" s="67" t="str">
        <f>IF(TRIM(G382)&lt;&gt;"",COUNTA(G$11:$G382)&amp;"","")</f>
        <v>246</v>
      </c>
      <c r="B382" s="311"/>
      <c r="C382" s="311"/>
      <c r="D382" s="30"/>
      <c r="E382" s="52" t="s">
        <v>555</v>
      </c>
      <c r="F382" s="69">
        <v>43.06</v>
      </c>
      <c r="G382" s="70" t="s">
        <v>177</v>
      </c>
      <c r="H382" s="21">
        <v>0.1</v>
      </c>
      <c r="I382" s="47">
        <f t="shared" ref="I382" si="622">IF(F382=0,"",F382+(F382*H382))</f>
        <v>47.366</v>
      </c>
      <c r="J382" s="265">
        <v>8</v>
      </c>
      <c r="K382" s="268">
        <f t="shared" ref="K382" si="623">IF(F382=0,"",J382*I382)</f>
        <v>378.928</v>
      </c>
      <c r="L382" s="258">
        <f t="shared" ref="L382" si="624">IF(F382=0,"",L$231)</f>
        <v>52</v>
      </c>
      <c r="M382" s="282">
        <v>0.1</v>
      </c>
      <c r="N382" s="22">
        <f t="shared" ref="N382" si="625">IF(F382=0,"",M382*I382)</f>
        <v>4.7366000000000001</v>
      </c>
      <c r="O382" s="268">
        <f t="shared" ref="O382" si="626">IF(F382=0,"",N382*L382)</f>
        <v>246.3032</v>
      </c>
      <c r="P382" s="23">
        <f t="shared" ref="P382" si="627">IF(F382=0,"",(K382+O382)/I382)</f>
        <v>13.2</v>
      </c>
      <c r="Q382" s="268">
        <f t="shared" ref="Q382" si="628">IF(F382=0,"",(P382*I382))</f>
        <v>625.23119999999994</v>
      </c>
      <c r="R382" s="118"/>
    </row>
    <row r="383" spans="1:18" x14ac:dyDescent="0.35">
      <c r="A383" s="67" t="str">
        <f>IF(TRIM(G383)&lt;&gt;"",COUNTA(G$11:$G383)&amp;"","")</f>
        <v/>
      </c>
      <c r="B383" s="311"/>
      <c r="C383" s="311"/>
      <c r="D383" s="30"/>
      <c r="E383" s="52"/>
      <c r="F383" s="69"/>
      <c r="G383" s="70"/>
      <c r="H383" s="21"/>
      <c r="I383" s="47"/>
      <c r="J383" s="265"/>
      <c r="K383" s="268"/>
      <c r="L383" s="258"/>
      <c r="M383" s="282"/>
      <c r="N383" s="22"/>
      <c r="O383" s="268"/>
      <c r="P383" s="23"/>
      <c r="Q383" s="268"/>
      <c r="R383" s="118"/>
    </row>
    <row r="384" spans="1:18" x14ac:dyDescent="0.35">
      <c r="A384" s="67" t="str">
        <f>IF(TRIM(G384)&lt;&gt;"",COUNTA(G$11:$G384)&amp;"","")</f>
        <v/>
      </c>
      <c r="B384" s="311"/>
      <c r="C384" s="311"/>
      <c r="D384" s="30"/>
      <c r="E384" s="240" t="s">
        <v>515</v>
      </c>
      <c r="F384" s="69"/>
      <c r="G384" s="70"/>
      <c r="H384" s="21"/>
      <c r="I384" s="47"/>
      <c r="J384" s="265"/>
      <c r="K384" s="268"/>
      <c r="L384" s="258"/>
      <c r="M384" s="282"/>
      <c r="N384" s="22"/>
      <c r="O384" s="268"/>
      <c r="P384" s="23"/>
      <c r="Q384" s="268"/>
      <c r="R384" s="118"/>
    </row>
    <row r="385" spans="1:18" x14ac:dyDescent="0.35">
      <c r="A385" s="67" t="str">
        <f>IF(TRIM(G385)&lt;&gt;"",COUNTA(G$11:$G385)&amp;"","")</f>
        <v>247</v>
      </c>
      <c r="B385" s="311"/>
      <c r="C385" s="311"/>
      <c r="D385" s="30"/>
      <c r="E385" s="52" t="s">
        <v>556</v>
      </c>
      <c r="F385" s="69">
        <f>45.2*2</f>
        <v>90.4</v>
      </c>
      <c r="G385" s="70" t="s">
        <v>177</v>
      </c>
      <c r="H385" s="21">
        <v>0.1</v>
      </c>
      <c r="I385" s="47">
        <f t="shared" ref="I385" si="629">IF(F385=0,"",F385+(F385*H385))</f>
        <v>99.440000000000012</v>
      </c>
      <c r="J385" s="265">
        <v>6.5</v>
      </c>
      <c r="K385" s="268">
        <f t="shared" ref="K385" si="630">IF(F385=0,"",J385*I385)</f>
        <v>646.36000000000013</v>
      </c>
      <c r="L385" s="258">
        <f t="shared" ref="L385" si="631">IF(F385=0,"",L$231)</f>
        <v>52</v>
      </c>
      <c r="M385" s="282">
        <v>0.12</v>
      </c>
      <c r="N385" s="22">
        <f t="shared" ref="N385" si="632">IF(F385=0,"",M385*I385)</f>
        <v>11.9328</v>
      </c>
      <c r="O385" s="268">
        <f t="shared" ref="O385" si="633">IF(F385=0,"",N385*L385)</f>
        <v>620.50559999999996</v>
      </c>
      <c r="P385" s="23">
        <f t="shared" ref="P385" si="634">IF(F385=0,"",(K385+O385)/I385)</f>
        <v>12.74</v>
      </c>
      <c r="Q385" s="268">
        <f t="shared" ref="Q385" si="635">IF(F385=0,"",(P385*I385))</f>
        <v>1266.8656000000001</v>
      </c>
      <c r="R385" s="118"/>
    </row>
    <row r="386" spans="1:18" x14ac:dyDescent="0.35">
      <c r="A386" s="67" t="str">
        <f>IF(TRIM(G386)&lt;&gt;"",COUNTA(G$11:$G386)&amp;"","")</f>
        <v/>
      </c>
      <c r="B386" s="311"/>
      <c r="C386" s="311"/>
      <c r="D386" s="30"/>
      <c r="E386" s="52"/>
      <c r="F386" s="69"/>
      <c r="G386" s="70"/>
      <c r="H386" s="21"/>
      <c r="I386" s="47"/>
      <c r="J386" s="265"/>
      <c r="K386" s="268"/>
      <c r="L386" s="258"/>
      <c r="M386" s="282"/>
      <c r="N386" s="22"/>
      <c r="O386" s="268"/>
      <c r="P386" s="23"/>
      <c r="Q386" s="268"/>
      <c r="R386" s="118"/>
    </row>
    <row r="387" spans="1:18" x14ac:dyDescent="0.35">
      <c r="A387" s="67" t="str">
        <f>IF(TRIM(G387)&lt;&gt;"",COUNTA(G$11:$G387)&amp;"","")</f>
        <v/>
      </c>
      <c r="B387" s="311"/>
      <c r="C387" s="311"/>
      <c r="D387" s="30"/>
      <c r="E387" s="240" t="s">
        <v>557</v>
      </c>
      <c r="F387" s="69"/>
      <c r="G387" s="70"/>
      <c r="H387" s="21"/>
      <c r="I387" s="47"/>
      <c r="J387" s="265"/>
      <c r="K387" s="268"/>
      <c r="L387" s="258"/>
      <c r="M387" s="282"/>
      <c r="N387" s="22"/>
      <c r="O387" s="268"/>
      <c r="P387" s="23"/>
      <c r="Q387" s="268"/>
      <c r="R387" s="118"/>
    </row>
    <row r="388" spans="1:18" ht="29" x14ac:dyDescent="0.35">
      <c r="A388" s="67" t="str">
        <f>IF(TRIM(G388)&lt;&gt;"",COUNTA(G$11:$G388)&amp;"","")</f>
        <v>248</v>
      </c>
      <c r="B388" s="311"/>
      <c r="C388" s="311"/>
      <c r="D388" s="30"/>
      <c r="E388" s="52" t="s">
        <v>558</v>
      </c>
      <c r="F388" s="69">
        <v>34</v>
      </c>
      <c r="G388" s="70" t="s">
        <v>211</v>
      </c>
      <c r="H388" s="21">
        <f t="shared" ref="H388:H389" si="636">IF(F388=0,"",0)</f>
        <v>0</v>
      </c>
      <c r="I388" s="47">
        <f t="shared" ref="I388:I389" si="637">IF(F388=0,"",F388+(F388*H388))</f>
        <v>34</v>
      </c>
      <c r="J388" s="265">
        <v>32</v>
      </c>
      <c r="K388" s="268">
        <f t="shared" ref="K388:K389" si="638">IF(F388=0,"",J388*I388)</f>
        <v>1088</v>
      </c>
      <c r="L388" s="258">
        <f t="shared" ref="L388:L389" si="639">IF(F388=0,"",L$231)</f>
        <v>52</v>
      </c>
      <c r="M388" s="282">
        <v>0.25</v>
      </c>
      <c r="N388" s="22">
        <f t="shared" ref="N388:N389" si="640">IF(F388=0,"",M388*I388)</f>
        <v>8.5</v>
      </c>
      <c r="O388" s="268">
        <f t="shared" ref="O388:O389" si="641">IF(F388=0,"",N388*L388)</f>
        <v>442</v>
      </c>
      <c r="P388" s="23">
        <f t="shared" ref="P388:P389" si="642">IF(F388=0,"",(K388+O388)/I388)</f>
        <v>45</v>
      </c>
      <c r="Q388" s="268">
        <f t="shared" ref="Q388:Q389" si="643">IF(F388=0,"",(P388*I388))</f>
        <v>1530</v>
      </c>
      <c r="R388" s="118"/>
    </row>
    <row r="389" spans="1:18" x14ac:dyDescent="0.35">
      <c r="A389" s="67" t="str">
        <f>IF(TRIM(G389)&lt;&gt;"",COUNTA(G$11:$G389)&amp;"","")</f>
        <v>249</v>
      </c>
      <c r="B389" s="311"/>
      <c r="C389" s="311"/>
      <c r="D389" s="30"/>
      <c r="E389" s="52" t="s">
        <v>559</v>
      </c>
      <c r="F389" s="69">
        <v>59</v>
      </c>
      <c r="G389" s="70" t="s">
        <v>211</v>
      </c>
      <c r="H389" s="21">
        <f t="shared" si="636"/>
        <v>0</v>
      </c>
      <c r="I389" s="47">
        <f t="shared" si="637"/>
        <v>59</v>
      </c>
      <c r="J389" s="265">
        <v>5.5</v>
      </c>
      <c r="K389" s="268">
        <f t="shared" si="638"/>
        <v>324.5</v>
      </c>
      <c r="L389" s="258">
        <f t="shared" si="639"/>
        <v>52</v>
      </c>
      <c r="M389" s="282">
        <v>0.05</v>
      </c>
      <c r="N389" s="22">
        <f t="shared" si="640"/>
        <v>2.95</v>
      </c>
      <c r="O389" s="268">
        <f t="shared" si="641"/>
        <v>153.4</v>
      </c>
      <c r="P389" s="23">
        <f t="shared" si="642"/>
        <v>8.1</v>
      </c>
      <c r="Q389" s="268">
        <f t="shared" si="643"/>
        <v>477.9</v>
      </c>
      <c r="R389" s="118"/>
    </row>
    <row r="390" spans="1:18" x14ac:dyDescent="0.35">
      <c r="A390" s="67" t="str">
        <f>IF(TRIM(G390)&lt;&gt;"",COUNTA(G$11:$G390)&amp;"","")</f>
        <v/>
      </c>
      <c r="B390" s="311"/>
      <c r="C390" s="311"/>
      <c r="D390" s="30"/>
      <c r="E390" s="52"/>
      <c r="F390" s="69"/>
      <c r="G390" s="70"/>
      <c r="H390" s="21" t="str">
        <f t="shared" si="346"/>
        <v/>
      </c>
      <c r="I390" s="47" t="str">
        <f t="shared" si="347"/>
        <v/>
      </c>
      <c r="J390" s="265"/>
      <c r="K390" s="268" t="str">
        <f t="shared" si="349"/>
        <v/>
      </c>
      <c r="L390" s="258" t="str">
        <f>IF(F390=0,"",L$231)</f>
        <v/>
      </c>
      <c r="M390" s="282"/>
      <c r="N390" s="22" t="str">
        <f t="shared" si="351"/>
        <v/>
      </c>
      <c r="O390" s="268" t="str">
        <f t="shared" si="352"/>
        <v/>
      </c>
      <c r="P390" s="23" t="str">
        <f t="shared" si="355"/>
        <v/>
      </c>
      <c r="Q390" s="268" t="str">
        <f t="shared" si="356"/>
        <v/>
      </c>
      <c r="R390" s="118"/>
    </row>
    <row r="391" spans="1:18" s="17" customFormat="1" ht="19.25" customHeight="1" x14ac:dyDescent="0.35">
      <c r="A391" s="67" t="str">
        <f>IF(TRIM(G391)&lt;&gt;"",COUNTA(G$11:$G391)&amp;"","")</f>
        <v/>
      </c>
      <c r="B391" s="311"/>
      <c r="C391" s="311"/>
      <c r="D391" s="30"/>
      <c r="E391" s="191" t="s">
        <v>209</v>
      </c>
      <c r="F391" s="69"/>
      <c r="G391" s="70"/>
      <c r="H391" s="21" t="str">
        <f t="shared" ref="H391" si="644">IF(F391=0,"",0)</f>
        <v/>
      </c>
      <c r="I391" s="47" t="str">
        <f t="shared" ref="I391:I392" si="645">IF(F391=0,"",F391+(F391*H391))</f>
        <v/>
      </c>
      <c r="J391" s="265"/>
      <c r="K391" s="268" t="str">
        <f t="shared" ref="K391:K392" si="646">IF(F391=0,"",J391*I391)</f>
        <v/>
      </c>
      <c r="L391" s="258" t="str">
        <f>IF(F391=0,"",L$231)</f>
        <v/>
      </c>
      <c r="M391" s="282"/>
      <c r="N391" s="22" t="str">
        <f t="shared" ref="N391:N392" si="647">IF(F391=0,"",M391*I391)</f>
        <v/>
      </c>
      <c r="O391" s="268" t="str">
        <f t="shared" ref="O391:O392" si="648">IF(F391=0,"",N391*L391)</f>
        <v/>
      </c>
      <c r="P391" s="23" t="str">
        <f t="shared" ref="P391:P392" si="649">IF(F391=0,"",(K391+O391)/I391)</f>
        <v/>
      </c>
      <c r="Q391" s="268" t="str">
        <f t="shared" ref="Q391:Q392" si="650">IF(F391=0,"",(P391*I391))</f>
        <v/>
      </c>
      <c r="R391" s="120"/>
    </row>
    <row r="392" spans="1:18" x14ac:dyDescent="0.35">
      <c r="A392" s="67" t="str">
        <f>IF(TRIM(G392)&lt;&gt;"",COUNTA(G$11:$G392)&amp;"","")</f>
        <v>250</v>
      </c>
      <c r="B392" s="311"/>
      <c r="C392" s="311"/>
      <c r="D392" s="30"/>
      <c r="E392" s="52" t="s">
        <v>214</v>
      </c>
      <c r="F392" s="69">
        <v>1120</v>
      </c>
      <c r="G392" s="70" t="s">
        <v>163</v>
      </c>
      <c r="H392" s="21">
        <v>0.1</v>
      </c>
      <c r="I392" s="47">
        <f t="shared" si="645"/>
        <v>1232</v>
      </c>
      <c r="J392" s="265">
        <v>2</v>
      </c>
      <c r="K392" s="268">
        <f t="shared" si="646"/>
        <v>2464</v>
      </c>
      <c r="L392" s="258">
        <f>IF(F392=0,"",L$231)</f>
        <v>52</v>
      </c>
      <c r="M392" s="282">
        <v>2.1000000000000001E-2</v>
      </c>
      <c r="N392" s="22">
        <f t="shared" si="647"/>
        <v>25.872</v>
      </c>
      <c r="O392" s="268">
        <f t="shared" si="648"/>
        <v>1345.3440000000001</v>
      </c>
      <c r="P392" s="23">
        <f t="shared" si="649"/>
        <v>3.0920000000000001</v>
      </c>
      <c r="Q392" s="268">
        <f t="shared" si="650"/>
        <v>3809.3440000000001</v>
      </c>
      <c r="R392" s="118"/>
    </row>
    <row r="393" spans="1:18" x14ac:dyDescent="0.35">
      <c r="A393" s="67" t="str">
        <f>IF(TRIM(G393)&lt;&gt;"",COUNTA(G$11:$G393)&amp;"","")</f>
        <v>251</v>
      </c>
      <c r="B393" s="311"/>
      <c r="C393" s="311"/>
      <c r="D393" s="30"/>
      <c r="E393" s="52" t="s">
        <v>445</v>
      </c>
      <c r="F393" s="69">
        <v>10</v>
      </c>
      <c r="G393" s="70" t="s">
        <v>211</v>
      </c>
      <c r="H393" s="21">
        <v>0</v>
      </c>
      <c r="I393" s="47">
        <f t="shared" ref="I393:I394" si="651">IF(F393=0,"",F393+(F393*H393))</f>
        <v>10</v>
      </c>
      <c r="J393" s="265">
        <v>7</v>
      </c>
      <c r="K393" s="268">
        <f t="shared" ref="K393:K394" si="652">IF(F393=0,"",J393*I393)</f>
        <v>70</v>
      </c>
      <c r="L393" s="258">
        <f t="shared" ref="L393:L394" si="653">IF(F393=0,"",L$231)</f>
        <v>52</v>
      </c>
      <c r="M393" s="282">
        <v>0.05</v>
      </c>
      <c r="N393" s="22">
        <f t="shared" ref="N393:N394" si="654">IF(F393=0,"",M393*I393)</f>
        <v>0.5</v>
      </c>
      <c r="O393" s="268">
        <f t="shared" ref="O393:O394" si="655">IF(F393=0,"",N393*L393)</f>
        <v>26</v>
      </c>
      <c r="P393" s="23">
        <f t="shared" ref="P393:P394" si="656">IF(F393=0,"",(K393+O393)/I393)</f>
        <v>9.6</v>
      </c>
      <c r="Q393" s="268">
        <f t="shared" ref="Q393:Q394" si="657">IF(F393=0,"",(P393*I393))</f>
        <v>96</v>
      </c>
      <c r="R393" s="118"/>
    </row>
    <row r="394" spans="1:18" x14ac:dyDescent="0.35">
      <c r="A394" s="67" t="str">
        <f>IF(TRIM(G394)&lt;&gt;"",COUNTA(G$11:$G394)&amp;"","")</f>
        <v>252</v>
      </c>
      <c r="B394" s="311"/>
      <c r="C394" s="311"/>
      <c r="D394" s="30" t="s">
        <v>295</v>
      </c>
      <c r="E394" s="52" t="s">
        <v>446</v>
      </c>
      <c r="F394" s="69">
        <f>76.3/4</f>
        <v>19.074999999999999</v>
      </c>
      <c r="G394" s="70" t="s">
        <v>211</v>
      </c>
      <c r="H394" s="21">
        <v>0</v>
      </c>
      <c r="I394" s="47">
        <f t="shared" si="651"/>
        <v>19.074999999999999</v>
      </c>
      <c r="J394" s="265">
        <v>6</v>
      </c>
      <c r="K394" s="268">
        <f t="shared" si="652"/>
        <v>114.44999999999999</v>
      </c>
      <c r="L394" s="258">
        <f t="shared" si="653"/>
        <v>52</v>
      </c>
      <c r="M394" s="282">
        <v>0.05</v>
      </c>
      <c r="N394" s="22">
        <f t="shared" si="654"/>
        <v>0.95374999999999999</v>
      </c>
      <c r="O394" s="268">
        <f t="shared" si="655"/>
        <v>49.594999999999999</v>
      </c>
      <c r="P394" s="23">
        <f t="shared" si="656"/>
        <v>8.6</v>
      </c>
      <c r="Q394" s="268">
        <f t="shared" si="657"/>
        <v>164.04499999999999</v>
      </c>
      <c r="R394" s="118"/>
    </row>
    <row r="395" spans="1:18" x14ac:dyDescent="0.35">
      <c r="A395" s="67" t="str">
        <f>IF(TRIM(G395)&lt;&gt;"",COUNTA(G$11:$G395)&amp;"","")</f>
        <v/>
      </c>
      <c r="B395" s="311"/>
      <c r="C395" s="311"/>
      <c r="D395" s="30"/>
      <c r="E395" s="52"/>
      <c r="F395" s="69"/>
      <c r="G395" s="70"/>
      <c r="H395" s="21" t="str">
        <f t="shared" si="346"/>
        <v/>
      </c>
      <c r="I395" s="47" t="str">
        <f t="shared" si="347"/>
        <v/>
      </c>
      <c r="J395" s="265"/>
      <c r="K395" s="268" t="str">
        <f t="shared" si="349"/>
        <v/>
      </c>
      <c r="L395" s="258" t="str">
        <f t="shared" ref="L395:L400" si="658">IF(F395=0,"",L$231)</f>
        <v/>
      </c>
      <c r="M395" s="282"/>
      <c r="N395" s="22" t="str">
        <f t="shared" si="351"/>
        <v/>
      </c>
      <c r="O395" s="268" t="str">
        <f t="shared" si="352"/>
        <v/>
      </c>
      <c r="P395" s="23" t="str">
        <f t="shared" si="355"/>
        <v/>
      </c>
      <c r="Q395" s="268" t="str">
        <f t="shared" si="356"/>
        <v/>
      </c>
      <c r="R395" s="118"/>
    </row>
    <row r="396" spans="1:18" s="17" customFormat="1" ht="19.25" customHeight="1" x14ac:dyDescent="0.35">
      <c r="A396" s="67" t="str">
        <f>IF(TRIM(G396)&lt;&gt;"",COUNTA(G$11:$G396)&amp;"","")</f>
        <v/>
      </c>
      <c r="B396" s="311"/>
      <c r="C396" s="311"/>
      <c r="D396" s="193" t="s">
        <v>79</v>
      </c>
      <c r="E396" s="191" t="s">
        <v>78</v>
      </c>
      <c r="F396" s="69"/>
      <c r="G396" s="70"/>
      <c r="H396" s="21" t="str">
        <f t="shared" si="346"/>
        <v/>
      </c>
      <c r="I396" s="47" t="str">
        <f t="shared" si="347"/>
        <v/>
      </c>
      <c r="J396" s="265"/>
      <c r="K396" s="268" t="str">
        <f t="shared" si="349"/>
        <v/>
      </c>
      <c r="L396" s="258" t="str">
        <f t="shared" si="658"/>
        <v/>
      </c>
      <c r="M396" s="282"/>
      <c r="N396" s="22" t="str">
        <f t="shared" si="351"/>
        <v/>
      </c>
      <c r="O396" s="268" t="str">
        <f t="shared" si="352"/>
        <v/>
      </c>
      <c r="P396" s="23" t="str">
        <f t="shared" si="355"/>
        <v/>
      </c>
      <c r="Q396" s="268" t="str">
        <f t="shared" si="356"/>
        <v/>
      </c>
      <c r="R396" s="120"/>
    </row>
    <row r="397" spans="1:18" x14ac:dyDescent="0.35">
      <c r="A397" s="67" t="str">
        <f>IF(TRIM(G397)&lt;&gt;"",COUNTA(G$11:$G397)&amp;"","")</f>
        <v>253</v>
      </c>
      <c r="B397" s="311"/>
      <c r="C397" s="311"/>
      <c r="D397" s="30"/>
      <c r="E397" s="52" t="s">
        <v>552</v>
      </c>
      <c r="F397" s="69">
        <f>42.43+50.64+139.84</f>
        <v>232.91</v>
      </c>
      <c r="G397" s="70" t="s">
        <v>177</v>
      </c>
      <c r="H397" s="21">
        <v>0.1</v>
      </c>
      <c r="I397" s="47">
        <f t="shared" si="347"/>
        <v>256.20100000000002</v>
      </c>
      <c r="J397" s="265">
        <v>3.5</v>
      </c>
      <c r="K397" s="268">
        <f t="shared" si="349"/>
        <v>896.70350000000008</v>
      </c>
      <c r="L397" s="258">
        <f t="shared" si="658"/>
        <v>52</v>
      </c>
      <c r="M397" s="282">
        <v>4.2000000000000003E-2</v>
      </c>
      <c r="N397" s="22">
        <f t="shared" si="351"/>
        <v>10.760442000000001</v>
      </c>
      <c r="O397" s="268">
        <f t="shared" si="352"/>
        <v>559.54298400000005</v>
      </c>
      <c r="P397" s="23">
        <f t="shared" si="355"/>
        <v>5.6840000000000002</v>
      </c>
      <c r="Q397" s="268">
        <f t="shared" si="356"/>
        <v>1456.2464840000002</v>
      </c>
      <c r="R397" s="118"/>
    </row>
    <row r="398" spans="1:18" x14ac:dyDescent="0.35">
      <c r="A398" s="67" t="str">
        <f>IF(TRIM(G398)&lt;&gt;"",COUNTA(G$11:$G398)&amp;"","")</f>
        <v/>
      </c>
      <c r="B398" s="311"/>
      <c r="C398" s="311"/>
      <c r="D398" s="30"/>
      <c r="E398" s="52"/>
      <c r="F398" s="69"/>
      <c r="G398" s="70"/>
      <c r="H398" s="21" t="str">
        <f t="shared" si="346"/>
        <v/>
      </c>
      <c r="I398" s="47" t="str">
        <f t="shared" si="347"/>
        <v/>
      </c>
      <c r="J398" s="265"/>
      <c r="K398" s="268" t="str">
        <f t="shared" si="349"/>
        <v/>
      </c>
      <c r="L398" s="258" t="str">
        <f t="shared" si="658"/>
        <v/>
      </c>
      <c r="M398" s="282"/>
      <c r="N398" s="22" t="str">
        <f t="shared" si="351"/>
        <v/>
      </c>
      <c r="O398" s="268" t="str">
        <f t="shared" si="352"/>
        <v/>
      </c>
      <c r="P398" s="23" t="str">
        <f t="shared" si="355"/>
        <v/>
      </c>
      <c r="Q398" s="268" t="str">
        <f t="shared" si="356"/>
        <v/>
      </c>
      <c r="R398" s="118"/>
    </row>
    <row r="399" spans="1:18" s="17" customFormat="1" ht="19.25" customHeight="1" x14ac:dyDescent="0.35">
      <c r="A399" s="67" t="str">
        <f>IF(TRIM(G399)&lt;&gt;"",COUNTA(G$11:$G399)&amp;"","")</f>
        <v/>
      </c>
      <c r="B399" s="311"/>
      <c r="C399" s="311"/>
      <c r="D399" s="193" t="s">
        <v>81</v>
      </c>
      <c r="E399" s="191" t="s">
        <v>80</v>
      </c>
      <c r="F399" s="69"/>
      <c r="G399" s="70"/>
      <c r="H399" s="21" t="str">
        <f t="shared" si="346"/>
        <v/>
      </c>
      <c r="I399" s="47" t="str">
        <f t="shared" si="347"/>
        <v/>
      </c>
      <c r="J399" s="265"/>
      <c r="K399" s="268" t="str">
        <f t="shared" si="349"/>
        <v/>
      </c>
      <c r="L399" s="258" t="str">
        <f t="shared" si="658"/>
        <v/>
      </c>
      <c r="M399" s="282"/>
      <c r="N399" s="22" t="str">
        <f t="shared" si="351"/>
        <v/>
      </c>
      <c r="O399" s="268" t="str">
        <f t="shared" si="352"/>
        <v/>
      </c>
      <c r="P399" s="23" t="str">
        <f t="shared" si="355"/>
        <v/>
      </c>
      <c r="Q399" s="268" t="str">
        <f t="shared" si="356"/>
        <v/>
      </c>
      <c r="R399" s="120"/>
    </row>
    <row r="400" spans="1:18" x14ac:dyDescent="0.35">
      <c r="A400" s="67" t="str">
        <f>IF(TRIM(G400)&lt;&gt;"",COUNTA(G$11:$G400)&amp;"","")</f>
        <v>254</v>
      </c>
      <c r="B400" s="311"/>
      <c r="C400" s="311"/>
      <c r="D400" s="30"/>
      <c r="E400" s="52" t="s">
        <v>184</v>
      </c>
      <c r="F400" s="69">
        <v>69</v>
      </c>
      <c r="G400" s="70" t="s">
        <v>177</v>
      </c>
      <c r="H400" s="21">
        <v>0.1</v>
      </c>
      <c r="I400" s="47">
        <f t="shared" si="347"/>
        <v>75.900000000000006</v>
      </c>
      <c r="J400" s="265">
        <v>3</v>
      </c>
      <c r="K400" s="268">
        <f t="shared" si="349"/>
        <v>227.70000000000002</v>
      </c>
      <c r="L400" s="258">
        <f t="shared" si="658"/>
        <v>52</v>
      </c>
      <c r="M400" s="282">
        <v>0.03</v>
      </c>
      <c r="N400" s="22">
        <f t="shared" si="351"/>
        <v>2.2770000000000001</v>
      </c>
      <c r="O400" s="268">
        <f t="shared" si="352"/>
        <v>118.40400000000001</v>
      </c>
      <c r="P400" s="23">
        <f t="shared" si="355"/>
        <v>4.5600000000000005</v>
      </c>
      <c r="Q400" s="268">
        <f t="shared" si="356"/>
        <v>346.10400000000004</v>
      </c>
      <c r="R400" s="118"/>
    </row>
    <row r="401" spans="1:18" x14ac:dyDescent="0.35">
      <c r="A401" s="67" t="str">
        <f>IF(TRIM(G401)&lt;&gt;"",COUNTA(G$11:$G401)&amp;"","")</f>
        <v>255</v>
      </c>
      <c r="B401" s="311"/>
      <c r="C401" s="311"/>
      <c r="D401" s="30"/>
      <c r="E401" s="52" t="s">
        <v>423</v>
      </c>
      <c r="F401" s="69">
        <f>66.76*2</f>
        <v>133.52000000000001</v>
      </c>
      <c r="G401" s="70" t="s">
        <v>177</v>
      </c>
      <c r="H401" s="21">
        <v>0.1</v>
      </c>
      <c r="I401" s="47">
        <f t="shared" si="347"/>
        <v>146.87200000000001</v>
      </c>
      <c r="J401" s="265">
        <v>3</v>
      </c>
      <c r="K401" s="268">
        <f t="shared" ref="K401:K402" si="659">IF(F401=0,"",J401*I401)</f>
        <v>440.61600000000004</v>
      </c>
      <c r="L401" s="258">
        <f t="shared" ref="L401:L402" si="660">IF(F401=0,"",L$231)</f>
        <v>52</v>
      </c>
      <c r="M401" s="282">
        <v>0.03</v>
      </c>
      <c r="N401" s="22">
        <f t="shared" si="351"/>
        <v>4.4061599999999999</v>
      </c>
      <c r="O401" s="268">
        <f t="shared" si="352"/>
        <v>229.12031999999999</v>
      </c>
      <c r="P401" s="23">
        <f t="shared" si="355"/>
        <v>4.5599999999999996</v>
      </c>
      <c r="Q401" s="268">
        <f t="shared" si="356"/>
        <v>669.73631999999998</v>
      </c>
      <c r="R401" s="118"/>
    </row>
    <row r="402" spans="1:18" x14ac:dyDescent="0.35">
      <c r="A402" s="67" t="str">
        <f>IF(TRIM(G402)&lt;&gt;"",COUNTA(G$11:$G402)&amp;"","")</f>
        <v>256</v>
      </c>
      <c r="B402" s="311"/>
      <c r="C402" s="311"/>
      <c r="D402" s="30"/>
      <c r="E402" s="52" t="s">
        <v>424</v>
      </c>
      <c r="F402" s="69">
        <f>2.47*2</f>
        <v>4.9400000000000004</v>
      </c>
      <c r="G402" s="70" t="s">
        <v>177</v>
      </c>
      <c r="H402" s="21">
        <v>0.1</v>
      </c>
      <c r="I402" s="47">
        <f t="shared" ref="I402" si="661">IF(F402=0,"",F402+(F402*H402))</f>
        <v>5.4340000000000002</v>
      </c>
      <c r="J402" s="265">
        <v>3</v>
      </c>
      <c r="K402" s="268">
        <f t="shared" si="659"/>
        <v>16.302</v>
      </c>
      <c r="L402" s="258">
        <f t="shared" si="660"/>
        <v>52</v>
      </c>
      <c r="M402" s="282">
        <v>0.03</v>
      </c>
      <c r="N402" s="22">
        <f t="shared" ref="N402" si="662">IF(F402=0,"",M402*I402)</f>
        <v>0.16302</v>
      </c>
      <c r="O402" s="268">
        <f t="shared" ref="O402" si="663">IF(F402=0,"",N402*L402)</f>
        <v>8.4770400000000006</v>
      </c>
      <c r="P402" s="23">
        <f t="shared" ref="P402" si="664">IF(F402=0,"",(K402+O402)/I402)</f>
        <v>4.5600000000000005</v>
      </c>
      <c r="Q402" s="268">
        <f t="shared" ref="Q402" si="665">IF(F402=0,"",(P402*I402))</f>
        <v>24.779040000000002</v>
      </c>
      <c r="R402" s="118"/>
    </row>
    <row r="403" spans="1:18" x14ac:dyDescent="0.35">
      <c r="A403" s="67" t="str">
        <f>IF(TRIM(G403)&lt;&gt;"",COUNTA(G$11:$G403)&amp;"","")</f>
        <v/>
      </c>
      <c r="B403" s="311"/>
      <c r="C403" s="311"/>
      <c r="D403" s="30"/>
      <c r="E403" s="52"/>
      <c r="F403" s="69"/>
      <c r="G403" s="70"/>
      <c r="H403" s="21"/>
      <c r="I403" s="47"/>
      <c r="J403" s="265"/>
      <c r="K403" s="268"/>
      <c r="L403" s="258"/>
      <c r="M403" s="282"/>
      <c r="N403" s="22"/>
      <c r="O403" s="268"/>
      <c r="P403" s="23"/>
      <c r="Q403" s="268"/>
      <c r="R403" s="118"/>
    </row>
    <row r="404" spans="1:18" x14ac:dyDescent="0.35">
      <c r="A404" s="67" t="str">
        <f>IF(TRIM(G404)&lt;&gt;"",COUNTA(G$11:$G404)&amp;"","")</f>
        <v/>
      </c>
      <c r="B404" s="311"/>
      <c r="C404" s="311"/>
      <c r="D404" s="193" t="s">
        <v>564</v>
      </c>
      <c r="E404" s="191" t="s">
        <v>421</v>
      </c>
      <c r="F404" s="69"/>
      <c r="G404" s="70"/>
      <c r="H404" s="21"/>
      <c r="I404" s="47"/>
      <c r="J404" s="265"/>
      <c r="K404" s="268"/>
      <c r="L404" s="258"/>
      <c r="M404" s="282"/>
      <c r="N404" s="22"/>
      <c r="O404" s="268"/>
      <c r="P404" s="23"/>
      <c r="Q404" s="268"/>
      <c r="R404" s="118"/>
    </row>
    <row r="405" spans="1:18" x14ac:dyDescent="0.35">
      <c r="A405" s="67" t="str">
        <f>IF(TRIM(G405)&lt;&gt;"",COUNTA(G$11:$G405)&amp;"","")</f>
        <v>257</v>
      </c>
      <c r="B405" s="311"/>
      <c r="C405" s="311"/>
      <c r="D405" s="30"/>
      <c r="E405" s="52" t="s">
        <v>422</v>
      </c>
      <c r="F405" s="69">
        <v>11.57</v>
      </c>
      <c r="G405" s="70" t="s">
        <v>177</v>
      </c>
      <c r="H405" s="21">
        <v>0.1</v>
      </c>
      <c r="I405" s="47">
        <f t="shared" ref="I405" si="666">IF(F405=0,"",F405+(F405*H405))</f>
        <v>12.727</v>
      </c>
      <c r="J405" s="265">
        <v>2.5</v>
      </c>
      <c r="K405" s="268">
        <f t="shared" ref="K405" si="667">IF(F405=0,"",J405*I405)</f>
        <v>31.817500000000003</v>
      </c>
      <c r="L405" s="258">
        <f t="shared" ref="L405" si="668">IF(F405=0,"",L$231)</f>
        <v>52</v>
      </c>
      <c r="M405" s="282">
        <v>0.08</v>
      </c>
      <c r="N405" s="22">
        <f t="shared" ref="N405" si="669">IF(F405=0,"",M405*I405)</f>
        <v>1.01816</v>
      </c>
      <c r="O405" s="268">
        <f t="shared" ref="O405" si="670">IF(F405=0,"",N405*L405)</f>
        <v>52.944319999999998</v>
      </c>
      <c r="P405" s="23">
        <f t="shared" ref="P405" si="671">IF(F405=0,"",(K405+O405)/I405)</f>
        <v>6.66</v>
      </c>
      <c r="Q405" s="268">
        <f t="shared" ref="Q405" si="672">IF(F405=0,"",(P405*I405))</f>
        <v>84.76182</v>
      </c>
      <c r="R405" s="118"/>
    </row>
    <row r="406" spans="1:18" x14ac:dyDescent="0.35">
      <c r="A406" s="67" t="str">
        <f>IF(TRIM(G406)&lt;&gt;"",COUNTA(G$11:$G406)&amp;"","")</f>
        <v>258</v>
      </c>
      <c r="B406" s="311"/>
      <c r="C406" s="311"/>
      <c r="D406" s="30"/>
      <c r="E406" s="52" t="s">
        <v>425</v>
      </c>
      <c r="F406" s="69">
        <v>76.260000000000005</v>
      </c>
      <c r="G406" s="70" t="s">
        <v>177</v>
      </c>
      <c r="H406" s="21">
        <v>0.1</v>
      </c>
      <c r="I406" s="47">
        <f t="shared" ref="I406:I407" si="673">IF(F406=0,"",F406+(F406*H406))</f>
        <v>83.88600000000001</v>
      </c>
      <c r="J406" s="265">
        <v>6</v>
      </c>
      <c r="K406" s="268">
        <f t="shared" ref="K406:K407" si="674">IF(F406=0,"",J406*I406)</f>
        <v>503.31600000000003</v>
      </c>
      <c r="L406" s="258">
        <f t="shared" ref="L406:L407" si="675">IF(F406=0,"",L$231)</f>
        <v>52</v>
      </c>
      <c r="M406" s="282">
        <v>0.12</v>
      </c>
      <c r="N406" s="22">
        <f t="shared" ref="N406:N407" si="676">IF(F406=0,"",M406*I406)</f>
        <v>10.066320000000001</v>
      </c>
      <c r="O406" s="268">
        <f t="shared" ref="O406:O407" si="677">IF(F406=0,"",N406*L406)</f>
        <v>523.44864000000007</v>
      </c>
      <c r="P406" s="23">
        <f t="shared" ref="P406:P407" si="678">IF(F406=0,"",(K406+O406)/I406)</f>
        <v>12.24</v>
      </c>
      <c r="Q406" s="268">
        <f t="shared" ref="Q406:Q407" si="679">IF(F406=0,"",(P406*I406))</f>
        <v>1026.7646400000001</v>
      </c>
      <c r="R406" s="118"/>
    </row>
    <row r="407" spans="1:18" x14ac:dyDescent="0.35">
      <c r="A407" s="67" t="str">
        <f>IF(TRIM(G407)&lt;&gt;"",COUNTA(G$11:$G407)&amp;"","")</f>
        <v>259</v>
      </c>
      <c r="B407" s="311"/>
      <c r="C407" s="311"/>
      <c r="D407" s="30"/>
      <c r="E407" s="52" t="s">
        <v>426</v>
      </c>
      <c r="F407" s="69">
        <v>76.260000000000005</v>
      </c>
      <c r="G407" s="70" t="s">
        <v>177</v>
      </c>
      <c r="H407" s="21">
        <v>0.1</v>
      </c>
      <c r="I407" s="47">
        <f t="shared" si="673"/>
        <v>83.88600000000001</v>
      </c>
      <c r="J407" s="265">
        <v>7.5</v>
      </c>
      <c r="K407" s="268">
        <f t="shared" si="674"/>
        <v>629.1450000000001</v>
      </c>
      <c r="L407" s="258">
        <f t="shared" si="675"/>
        <v>52</v>
      </c>
      <c r="M407" s="282">
        <v>0.12</v>
      </c>
      <c r="N407" s="22">
        <f t="shared" si="676"/>
        <v>10.066320000000001</v>
      </c>
      <c r="O407" s="268">
        <f t="shared" si="677"/>
        <v>523.44864000000007</v>
      </c>
      <c r="P407" s="23">
        <f t="shared" si="678"/>
        <v>13.739999999999998</v>
      </c>
      <c r="Q407" s="268">
        <f t="shared" si="679"/>
        <v>1152.5936400000001</v>
      </c>
      <c r="R407" s="118"/>
    </row>
    <row r="408" spans="1:18" x14ac:dyDescent="0.35">
      <c r="A408" s="67" t="str">
        <f>IF(TRIM(G408)&lt;&gt;"",COUNTA(G$11:$G408)&amp;"","")</f>
        <v>260</v>
      </c>
      <c r="B408" s="311"/>
      <c r="C408" s="311"/>
      <c r="D408" s="30"/>
      <c r="E408" s="52" t="s">
        <v>437</v>
      </c>
      <c r="F408" s="69">
        <v>31.84</v>
      </c>
      <c r="G408" s="70" t="s">
        <v>177</v>
      </c>
      <c r="H408" s="21">
        <v>0.1</v>
      </c>
      <c r="I408" s="47">
        <f t="shared" ref="I408" si="680">IF(F408=0,"",F408+(F408*H408))</f>
        <v>35.024000000000001</v>
      </c>
      <c r="J408" s="265">
        <v>3</v>
      </c>
      <c r="K408" s="268">
        <f t="shared" ref="K408" si="681">IF(F408=0,"",J408*I408)</f>
        <v>105.072</v>
      </c>
      <c r="L408" s="258">
        <f t="shared" ref="L408" si="682">IF(F408=0,"",L$231)</f>
        <v>52</v>
      </c>
      <c r="M408" s="282">
        <v>0.08</v>
      </c>
      <c r="N408" s="22">
        <f t="shared" ref="N408" si="683">IF(F408=0,"",M408*I408)</f>
        <v>2.80192</v>
      </c>
      <c r="O408" s="268">
        <f t="shared" ref="O408" si="684">IF(F408=0,"",N408*L408)</f>
        <v>145.69983999999999</v>
      </c>
      <c r="P408" s="23">
        <f t="shared" ref="P408" si="685">IF(F408=0,"",(K408+O408)/I408)</f>
        <v>7.16</v>
      </c>
      <c r="Q408" s="268">
        <f t="shared" ref="Q408" si="686">IF(F408=0,"",(P408*I408))</f>
        <v>250.77184</v>
      </c>
      <c r="R408" s="118"/>
    </row>
    <row r="409" spans="1:18" x14ac:dyDescent="0.35">
      <c r="A409" s="67" t="str">
        <f>IF(TRIM(G409)&lt;&gt;"",COUNTA(G$11:$G409)&amp;"","")</f>
        <v>261</v>
      </c>
      <c r="B409" s="311"/>
      <c r="C409" s="311"/>
      <c r="D409" s="30"/>
      <c r="E409" s="52" t="s">
        <v>503</v>
      </c>
      <c r="F409" s="69">
        <v>14.34</v>
      </c>
      <c r="G409" s="70" t="s">
        <v>177</v>
      </c>
      <c r="H409" s="21">
        <v>0.1</v>
      </c>
      <c r="I409" s="47">
        <f t="shared" ref="I409" si="687">IF(F409=0,"",F409+(F409*H409))</f>
        <v>15.774000000000001</v>
      </c>
      <c r="J409" s="265">
        <v>2.5</v>
      </c>
      <c r="K409" s="268">
        <f t="shared" ref="K409" si="688">IF(F409=0,"",J409*I409)</f>
        <v>39.435000000000002</v>
      </c>
      <c r="L409" s="258">
        <f t="shared" ref="L409" si="689">IF(F409=0,"",L$231)</f>
        <v>52</v>
      </c>
      <c r="M409" s="282">
        <v>0.08</v>
      </c>
      <c r="N409" s="22">
        <f t="shared" ref="N409" si="690">IF(F409=0,"",M409*I409)</f>
        <v>1.2619200000000002</v>
      </c>
      <c r="O409" s="268">
        <f t="shared" ref="O409" si="691">IF(F409=0,"",N409*L409)</f>
        <v>65.619840000000011</v>
      </c>
      <c r="P409" s="23">
        <f t="shared" ref="P409" si="692">IF(F409=0,"",(K409+O409)/I409)</f>
        <v>6.66</v>
      </c>
      <c r="Q409" s="268">
        <f t="shared" ref="Q409" si="693">IF(F409=0,"",(P409*I409))</f>
        <v>105.05484000000001</v>
      </c>
      <c r="R409" s="118"/>
    </row>
    <row r="410" spans="1:18" x14ac:dyDescent="0.35">
      <c r="A410" s="67" t="str">
        <f>IF(TRIM(G410)&lt;&gt;"",COUNTA(G$11:$G410)&amp;"","")</f>
        <v/>
      </c>
      <c r="B410" s="311"/>
      <c r="C410" s="311"/>
      <c r="D410" s="30"/>
      <c r="E410" s="52"/>
      <c r="F410" s="69"/>
      <c r="G410" s="70"/>
      <c r="H410" s="21"/>
      <c r="I410" s="47"/>
      <c r="J410" s="265"/>
      <c r="K410" s="268"/>
      <c r="L410" s="258"/>
      <c r="M410" s="282"/>
      <c r="N410" s="22"/>
      <c r="O410" s="268"/>
      <c r="P410" s="23"/>
      <c r="Q410" s="268"/>
      <c r="R410" s="118"/>
    </row>
    <row r="411" spans="1:18" x14ac:dyDescent="0.35">
      <c r="A411" s="67" t="str">
        <f>IF(TRIM(G411)&lt;&gt;"",COUNTA(G$11:$G411)&amp;"","")</f>
        <v/>
      </c>
      <c r="B411" s="311"/>
      <c r="C411" s="311"/>
      <c r="D411" s="193" t="s">
        <v>81</v>
      </c>
      <c r="E411" s="191" t="s">
        <v>80</v>
      </c>
      <c r="F411" s="69"/>
      <c r="G411" s="70"/>
      <c r="H411" s="21"/>
      <c r="I411" s="47"/>
      <c r="J411" s="265"/>
      <c r="K411" s="268"/>
      <c r="L411" s="258"/>
      <c r="M411" s="282"/>
      <c r="N411" s="22"/>
      <c r="O411" s="268"/>
      <c r="P411" s="23"/>
      <c r="Q411" s="268"/>
      <c r="R411" s="118"/>
    </row>
    <row r="412" spans="1:18" x14ac:dyDescent="0.35">
      <c r="A412" s="67" t="str">
        <f>IF(TRIM(G412)&lt;&gt;"",COUNTA(G$11:$G412)&amp;"","")</f>
        <v/>
      </c>
      <c r="B412" s="311"/>
      <c r="C412" s="311"/>
      <c r="D412" s="30"/>
      <c r="E412" s="244" t="s">
        <v>438</v>
      </c>
      <c r="F412" s="69"/>
      <c r="G412" s="70"/>
      <c r="H412" s="21"/>
      <c r="I412" s="47"/>
      <c r="J412" s="265"/>
      <c r="K412" s="268"/>
      <c r="L412" s="258"/>
      <c r="M412" s="282"/>
      <c r="N412" s="22"/>
      <c r="O412" s="268"/>
      <c r="P412" s="23"/>
      <c r="Q412" s="268"/>
      <c r="R412" s="118"/>
    </row>
    <row r="413" spans="1:18" x14ac:dyDescent="0.35">
      <c r="A413" s="67" t="str">
        <f>IF(TRIM(G413)&lt;&gt;"",COUNTA(G$11:$G413)&amp;"","")</f>
        <v>262</v>
      </c>
      <c r="B413" s="311"/>
      <c r="C413" s="311"/>
      <c r="D413" s="30"/>
      <c r="E413" s="52" t="s">
        <v>580</v>
      </c>
      <c r="F413" s="69">
        <v>5.99</v>
      </c>
      <c r="G413" s="70" t="s">
        <v>177</v>
      </c>
      <c r="H413" s="21">
        <v>0.1</v>
      </c>
      <c r="I413" s="47">
        <f t="shared" ref="I413:I416" si="694">IF(F413=0,"",F413+(F413*H413))</f>
        <v>6.5890000000000004</v>
      </c>
      <c r="J413" s="265">
        <v>120</v>
      </c>
      <c r="K413" s="268">
        <f t="shared" ref="K413:K416" si="695">IF(F413=0,"",J413*I413)</f>
        <v>790.68000000000006</v>
      </c>
      <c r="L413" s="258">
        <f t="shared" ref="L413:L416" si="696">IF(F413=0,"",L$231)</f>
        <v>52</v>
      </c>
      <c r="M413" s="282">
        <v>0.25</v>
      </c>
      <c r="N413" s="22">
        <f t="shared" ref="N413:N416" si="697">IF(F413=0,"",M413*I413)</f>
        <v>1.6472500000000001</v>
      </c>
      <c r="O413" s="268">
        <f t="shared" ref="O413:O416" si="698">IF(F413=0,"",N413*L413)</f>
        <v>85.657000000000011</v>
      </c>
      <c r="P413" s="23">
        <f t="shared" ref="P413:P416" si="699">IF(F413=0,"",(K413+O413)/I413)</f>
        <v>133</v>
      </c>
      <c r="Q413" s="268">
        <f t="shared" ref="Q413:Q416" si="700">IF(F413=0,"",(P413*I413))</f>
        <v>876.3370000000001</v>
      </c>
      <c r="R413" s="118"/>
    </row>
    <row r="414" spans="1:18" x14ac:dyDescent="0.35">
      <c r="A414" s="67" t="str">
        <f>IF(TRIM(G414)&lt;&gt;"",COUNTA(G$11:$G414)&amp;"","")</f>
        <v>263</v>
      </c>
      <c r="B414" s="311"/>
      <c r="C414" s="311"/>
      <c r="D414" s="30"/>
      <c r="E414" s="52" t="s">
        <v>439</v>
      </c>
      <c r="F414" s="69">
        <v>4.5599999999999996</v>
      </c>
      <c r="G414" s="70" t="s">
        <v>177</v>
      </c>
      <c r="H414" s="21">
        <v>0.1</v>
      </c>
      <c r="I414" s="47">
        <f t="shared" si="694"/>
        <v>5.016</v>
      </c>
      <c r="J414" s="265">
        <v>150</v>
      </c>
      <c r="K414" s="268">
        <f t="shared" si="695"/>
        <v>752.4</v>
      </c>
      <c r="L414" s="258">
        <f t="shared" si="696"/>
        <v>52</v>
      </c>
      <c r="M414" s="282">
        <v>0.3</v>
      </c>
      <c r="N414" s="22">
        <f t="shared" si="697"/>
        <v>1.5047999999999999</v>
      </c>
      <c r="O414" s="268">
        <f t="shared" si="698"/>
        <v>78.249600000000001</v>
      </c>
      <c r="P414" s="23">
        <f t="shared" si="699"/>
        <v>165.6</v>
      </c>
      <c r="Q414" s="268">
        <f t="shared" si="700"/>
        <v>830.64959999999996</v>
      </c>
      <c r="R414" s="118"/>
    </row>
    <row r="415" spans="1:18" x14ac:dyDescent="0.35">
      <c r="A415" s="67" t="str">
        <f>IF(TRIM(G415)&lt;&gt;"",COUNTA(G$11:$G415)&amp;"","")</f>
        <v>264</v>
      </c>
      <c r="B415" s="311"/>
      <c r="C415" s="311"/>
      <c r="D415" s="30"/>
      <c r="E415" s="52" t="s">
        <v>440</v>
      </c>
      <c r="F415" s="69">
        <v>8.2799999999999994</v>
      </c>
      <c r="G415" s="70" t="s">
        <v>177</v>
      </c>
      <c r="H415" s="21">
        <v>0.1</v>
      </c>
      <c r="I415" s="47">
        <f t="shared" si="694"/>
        <v>9.1079999999999988</v>
      </c>
      <c r="J415" s="265">
        <v>160</v>
      </c>
      <c r="K415" s="268">
        <f t="shared" si="695"/>
        <v>1457.2799999999997</v>
      </c>
      <c r="L415" s="258">
        <f t="shared" si="696"/>
        <v>52</v>
      </c>
      <c r="M415" s="282">
        <v>0.3</v>
      </c>
      <c r="N415" s="22">
        <f t="shared" si="697"/>
        <v>2.7323999999999997</v>
      </c>
      <c r="O415" s="268">
        <f t="shared" si="698"/>
        <v>142.08479999999997</v>
      </c>
      <c r="P415" s="23">
        <f t="shared" si="699"/>
        <v>175.6</v>
      </c>
      <c r="Q415" s="268">
        <f t="shared" si="700"/>
        <v>1599.3647999999998</v>
      </c>
      <c r="R415" s="118"/>
    </row>
    <row r="416" spans="1:18" x14ac:dyDescent="0.35">
      <c r="A416" s="67" t="str">
        <f>IF(TRIM(G416)&lt;&gt;"",COUNTA(G$11:$G416)&amp;"","")</f>
        <v>265</v>
      </c>
      <c r="B416" s="311"/>
      <c r="C416" s="311"/>
      <c r="D416" s="30"/>
      <c r="E416" s="52" t="s">
        <v>581</v>
      </c>
      <c r="F416" s="69">
        <v>3.95</v>
      </c>
      <c r="G416" s="70" t="s">
        <v>177</v>
      </c>
      <c r="H416" s="21">
        <v>0.1</v>
      </c>
      <c r="I416" s="47">
        <f t="shared" si="694"/>
        <v>4.3450000000000006</v>
      </c>
      <c r="J416" s="265">
        <v>130</v>
      </c>
      <c r="K416" s="268">
        <f t="shared" si="695"/>
        <v>564.85000000000014</v>
      </c>
      <c r="L416" s="258">
        <f t="shared" si="696"/>
        <v>52</v>
      </c>
      <c r="M416" s="282">
        <v>0.25</v>
      </c>
      <c r="N416" s="22">
        <f t="shared" si="697"/>
        <v>1.0862500000000002</v>
      </c>
      <c r="O416" s="268">
        <f t="shared" si="698"/>
        <v>56.485000000000007</v>
      </c>
      <c r="P416" s="23">
        <f t="shared" si="699"/>
        <v>143</v>
      </c>
      <c r="Q416" s="268">
        <f t="shared" si="700"/>
        <v>621.33500000000004</v>
      </c>
      <c r="R416" s="118"/>
    </row>
    <row r="417" spans="1:18" x14ac:dyDescent="0.35">
      <c r="A417" s="67" t="str">
        <f>IF(TRIM(G417)&lt;&gt;"",COUNTA(G$11:$G417)&amp;"","")</f>
        <v/>
      </c>
      <c r="B417" s="311"/>
      <c r="C417" s="311"/>
      <c r="D417" s="30"/>
      <c r="E417" s="52"/>
      <c r="F417" s="69"/>
      <c r="G417" s="70"/>
      <c r="H417" s="21"/>
      <c r="I417" s="47"/>
      <c r="J417" s="265"/>
      <c r="K417" s="268"/>
      <c r="L417" s="258"/>
      <c r="M417" s="282"/>
      <c r="N417" s="22"/>
      <c r="O417" s="268"/>
      <c r="P417" s="23"/>
      <c r="Q417" s="268"/>
      <c r="R417" s="118"/>
    </row>
    <row r="418" spans="1:18" x14ac:dyDescent="0.35">
      <c r="A418" s="67" t="str">
        <f>IF(TRIM(G418)&lt;&gt;"",COUNTA(G$11:$G418)&amp;"","")</f>
        <v/>
      </c>
      <c r="B418" s="311"/>
      <c r="C418" s="311"/>
      <c r="D418" s="30"/>
      <c r="E418" s="244" t="s">
        <v>441</v>
      </c>
      <c r="F418" s="69"/>
      <c r="G418" s="70"/>
      <c r="H418" s="21"/>
      <c r="I418" s="47"/>
      <c r="J418" s="265"/>
      <c r="K418" s="268"/>
      <c r="L418" s="258"/>
      <c r="M418" s="282"/>
      <c r="N418" s="22"/>
      <c r="O418" s="268"/>
      <c r="P418" s="23"/>
      <c r="Q418" s="268"/>
      <c r="R418" s="118"/>
    </row>
    <row r="419" spans="1:18" x14ac:dyDescent="0.35">
      <c r="A419" s="67" t="str">
        <f>IF(TRIM(G419)&lt;&gt;"",COUNTA(G$11:$G419)&amp;"","")</f>
        <v>266</v>
      </c>
      <c r="B419" s="311"/>
      <c r="C419" s="311"/>
      <c r="D419" s="30"/>
      <c r="E419" s="52" t="s">
        <v>442</v>
      </c>
      <c r="F419" s="69">
        <v>4.01</v>
      </c>
      <c r="G419" s="70" t="s">
        <v>177</v>
      </c>
      <c r="H419" s="21">
        <v>0.1</v>
      </c>
      <c r="I419" s="47">
        <f t="shared" ref="I419" si="701">IF(F419=0,"",F419+(F419*H419))</f>
        <v>4.4109999999999996</v>
      </c>
      <c r="J419" s="265">
        <v>200</v>
      </c>
      <c r="K419" s="268">
        <f t="shared" ref="K419" si="702">IF(F419=0,"",J419*I419)</f>
        <v>882.19999999999993</v>
      </c>
      <c r="L419" s="258">
        <f t="shared" ref="L419" si="703">IF(F419=0,"",L$231)</f>
        <v>52</v>
      </c>
      <c r="M419" s="282">
        <v>0.35</v>
      </c>
      <c r="N419" s="22">
        <f t="shared" ref="N419" si="704">IF(F419=0,"",M419*I419)</f>
        <v>1.5438499999999997</v>
      </c>
      <c r="O419" s="268">
        <f t="shared" ref="O419" si="705">IF(F419=0,"",N419*L419)</f>
        <v>80.280199999999979</v>
      </c>
      <c r="P419" s="23">
        <f t="shared" ref="P419" si="706">IF(F419=0,"",(K419+O419)/I419)</f>
        <v>218.20000000000002</v>
      </c>
      <c r="Q419" s="268">
        <f t="shared" ref="Q419" si="707">IF(F419=0,"",(P419*I419))</f>
        <v>962.48019999999997</v>
      </c>
      <c r="R419" s="118"/>
    </row>
    <row r="420" spans="1:18" x14ac:dyDescent="0.35">
      <c r="A420" s="67" t="str">
        <f>IF(TRIM(G420)&lt;&gt;"",COUNTA(G$11:$G420)&amp;"","")</f>
        <v/>
      </c>
      <c r="B420" s="311"/>
      <c r="C420" s="311"/>
      <c r="D420" s="30"/>
      <c r="E420" s="52"/>
      <c r="F420" s="69"/>
      <c r="G420" s="70"/>
      <c r="H420" s="21"/>
      <c r="I420" s="47"/>
      <c r="J420" s="265"/>
      <c r="K420" s="268"/>
      <c r="L420" s="258"/>
      <c r="M420" s="282"/>
      <c r="N420" s="22"/>
      <c r="O420" s="268"/>
      <c r="P420" s="23"/>
      <c r="Q420" s="268"/>
      <c r="R420" s="118"/>
    </row>
    <row r="421" spans="1:18" x14ac:dyDescent="0.35">
      <c r="A421" s="67" t="str">
        <f>IF(TRIM(G421)&lt;&gt;"",COUNTA(G$11:$G421)&amp;"","")</f>
        <v/>
      </c>
      <c r="B421" s="311"/>
      <c r="C421" s="311"/>
      <c r="D421" s="30"/>
      <c r="E421" s="244" t="s">
        <v>443</v>
      </c>
      <c r="F421" s="69"/>
      <c r="G421" s="70"/>
      <c r="H421" s="21"/>
      <c r="I421" s="47"/>
      <c r="J421" s="265"/>
      <c r="K421" s="268"/>
      <c r="L421" s="258"/>
      <c r="M421" s="282"/>
      <c r="N421" s="22"/>
      <c r="O421" s="268"/>
      <c r="P421" s="23"/>
      <c r="Q421" s="268"/>
      <c r="R421" s="118"/>
    </row>
    <row r="422" spans="1:18" x14ac:dyDescent="0.35">
      <c r="A422" s="67" t="str">
        <f>IF(TRIM(G422)&lt;&gt;"",COUNTA(G$11:$G422)&amp;"","")</f>
        <v>267</v>
      </c>
      <c r="B422" s="311"/>
      <c r="C422" s="311"/>
      <c r="D422" s="30"/>
      <c r="E422" s="52" t="s">
        <v>582</v>
      </c>
      <c r="F422" s="69">
        <v>3.92</v>
      </c>
      <c r="G422" s="70" t="s">
        <v>177</v>
      </c>
      <c r="H422" s="21">
        <v>0.1</v>
      </c>
      <c r="I422" s="47">
        <f t="shared" ref="I422" si="708">IF(F422=0,"",F422+(F422*H422))</f>
        <v>4.3120000000000003</v>
      </c>
      <c r="J422" s="265">
        <v>120</v>
      </c>
      <c r="K422" s="268">
        <f t="shared" ref="K422" si="709">IF(F422=0,"",J422*I422)</f>
        <v>517.44000000000005</v>
      </c>
      <c r="L422" s="258">
        <f t="shared" ref="L422" si="710">IF(F422=0,"",L$231)</f>
        <v>52</v>
      </c>
      <c r="M422" s="282">
        <v>0.25</v>
      </c>
      <c r="N422" s="22">
        <f t="shared" ref="N422" si="711">IF(F422=0,"",M422*I422)</f>
        <v>1.0780000000000001</v>
      </c>
      <c r="O422" s="268">
        <f t="shared" ref="O422" si="712">IF(F422=0,"",N422*L422)</f>
        <v>56.056000000000004</v>
      </c>
      <c r="P422" s="23">
        <f t="shared" ref="P422" si="713">IF(F422=0,"",(K422+O422)/I422)</f>
        <v>133</v>
      </c>
      <c r="Q422" s="268">
        <f t="shared" ref="Q422" si="714">IF(F422=0,"",(P422*I422))</f>
        <v>573.49599999999998</v>
      </c>
      <c r="R422" s="118"/>
    </row>
    <row r="423" spans="1:18" x14ac:dyDescent="0.35">
      <c r="A423" s="67" t="str">
        <f>IF(TRIM(G423)&lt;&gt;"",COUNTA(G$11:$G423)&amp;"","")</f>
        <v/>
      </c>
      <c r="B423" s="311"/>
      <c r="C423" s="311"/>
      <c r="D423" s="30"/>
      <c r="E423" s="52"/>
      <c r="F423" s="69"/>
      <c r="G423" s="70"/>
      <c r="H423" s="21"/>
      <c r="I423" s="47"/>
      <c r="J423" s="265"/>
      <c r="K423" s="268"/>
      <c r="L423" s="258"/>
      <c r="M423" s="282"/>
      <c r="N423" s="22"/>
      <c r="O423" s="268"/>
      <c r="P423" s="23"/>
      <c r="Q423" s="268"/>
      <c r="R423" s="118"/>
    </row>
    <row r="424" spans="1:18" x14ac:dyDescent="0.35">
      <c r="A424" s="67" t="str">
        <f>IF(TRIM(G424)&lt;&gt;"",COUNTA(G$11:$G424)&amp;"","")</f>
        <v/>
      </c>
      <c r="B424" s="311"/>
      <c r="C424" s="311"/>
      <c r="D424" s="30"/>
      <c r="E424" s="244" t="s">
        <v>444</v>
      </c>
      <c r="F424" s="69"/>
      <c r="G424" s="70"/>
      <c r="H424" s="21"/>
      <c r="I424" s="47"/>
      <c r="J424" s="265"/>
      <c r="K424" s="268"/>
      <c r="L424" s="258"/>
      <c r="M424" s="282"/>
      <c r="N424" s="22"/>
      <c r="O424" s="268"/>
      <c r="P424" s="23"/>
      <c r="Q424" s="268"/>
      <c r="R424" s="118"/>
    </row>
    <row r="425" spans="1:18" x14ac:dyDescent="0.35">
      <c r="A425" s="67" t="str">
        <f>IF(TRIM(G425)&lt;&gt;"",COUNTA(G$11:$G425)&amp;"","")</f>
        <v>268</v>
      </c>
      <c r="B425" s="312"/>
      <c r="C425" s="312"/>
      <c r="D425" s="30"/>
      <c r="E425" s="52" t="s">
        <v>583</v>
      </c>
      <c r="F425" s="69">
        <v>2</v>
      </c>
      <c r="G425" s="70" t="s">
        <v>211</v>
      </c>
      <c r="H425" s="21">
        <v>0</v>
      </c>
      <c r="I425" s="47">
        <f t="shared" ref="I425" si="715">IF(F425=0,"",F425+(F425*H425))</f>
        <v>2</v>
      </c>
      <c r="J425" s="265">
        <v>85</v>
      </c>
      <c r="K425" s="268">
        <f t="shared" ref="K425" si="716">IF(F425=0,"",J425*I425)</f>
        <v>170</v>
      </c>
      <c r="L425" s="258">
        <f t="shared" ref="L425" si="717">IF(F425=0,"",L$231)</f>
        <v>52</v>
      </c>
      <c r="M425" s="282">
        <v>0.2</v>
      </c>
      <c r="N425" s="22">
        <f t="shared" ref="N425" si="718">IF(F425=0,"",M425*I425)</f>
        <v>0.4</v>
      </c>
      <c r="O425" s="268">
        <f t="shared" ref="O425" si="719">IF(F425=0,"",N425*L425)</f>
        <v>20.8</v>
      </c>
      <c r="P425" s="23">
        <f t="shared" ref="P425" si="720">IF(F425=0,"",(K425+O425)/I425)</f>
        <v>95.4</v>
      </c>
      <c r="Q425" s="268">
        <f t="shared" ref="Q425" si="721">IF(F425=0,"",(P425*I425))</f>
        <v>190.8</v>
      </c>
      <c r="R425" s="118"/>
    </row>
    <row r="426" spans="1:18" ht="15" thickBot="1" x14ac:dyDescent="0.4">
      <c r="A426" s="67" t="str">
        <f>IF(TRIM(G426)&lt;&gt;"",COUNTA(G$11:$G426)&amp;"","")</f>
        <v/>
      </c>
      <c r="B426" s="71"/>
      <c r="C426" s="71"/>
      <c r="D426" s="30"/>
      <c r="E426" s="52"/>
      <c r="F426" s="69"/>
      <c r="G426" s="70"/>
      <c r="H426" s="21"/>
      <c r="I426" s="47"/>
      <c r="J426" s="265"/>
      <c r="K426" s="268"/>
      <c r="L426" s="258"/>
      <c r="M426" s="282"/>
      <c r="N426" s="22"/>
      <c r="O426" s="268"/>
      <c r="P426" s="23"/>
      <c r="Q426" s="268"/>
      <c r="R426" s="118"/>
    </row>
    <row r="427" spans="1:18" s="2" customFormat="1" ht="16" thickBot="1" x14ac:dyDescent="0.4">
      <c r="A427" s="82" t="str">
        <f>IF(TRIM(G427)&lt;&gt;"",COUNTA(G$11:$G427)&amp;"","")</f>
        <v/>
      </c>
      <c r="B427" s="1"/>
      <c r="C427" s="1"/>
      <c r="D427" s="19"/>
      <c r="E427" s="18"/>
      <c r="F427" s="167"/>
      <c r="G427" s="178"/>
      <c r="H427" s="83" t="s">
        <v>12</v>
      </c>
      <c r="I427" s="84"/>
      <c r="J427" s="85">
        <f>SUM(K$232:K$426)</f>
        <v>38152.464325000001</v>
      </c>
      <c r="K427" s="327" t="s">
        <v>13</v>
      </c>
      <c r="L427" s="328"/>
      <c r="M427" s="284">
        <f>SUM(O$232:O$426)</f>
        <v>11717.527113499998</v>
      </c>
      <c r="N427" s="327" t="s">
        <v>42</v>
      </c>
      <c r="O427" s="328"/>
      <c r="P427" s="87">
        <f>SUM(N$232:N$426)</f>
        <v>225.33705987500002</v>
      </c>
      <c r="Q427" s="274" t="s">
        <v>205</v>
      </c>
      <c r="R427" s="86">
        <f>SUM(Q$232:Q$426)</f>
        <v>49869.991438499994</v>
      </c>
    </row>
    <row r="428" spans="1:18" ht="25" customHeight="1" thickBot="1" x14ac:dyDescent="0.4">
      <c r="A428" s="169" t="str">
        <f>IF(TRIM(G428)&lt;&gt;"",COUNTA(G$11:$G428)&amp;"","")</f>
        <v/>
      </c>
      <c r="B428" s="170"/>
      <c r="C428" s="171" t="s">
        <v>144</v>
      </c>
      <c r="D428" s="180" t="s">
        <v>140</v>
      </c>
      <c r="E428" s="180" t="s">
        <v>59</v>
      </c>
      <c r="F428" s="181"/>
      <c r="G428" s="172"/>
      <c r="H428" s="170"/>
      <c r="I428" s="172"/>
      <c r="J428" s="263"/>
      <c r="K428" s="263"/>
      <c r="L428" s="257">
        <v>52</v>
      </c>
      <c r="M428" s="280"/>
      <c r="N428" s="170"/>
      <c r="O428" s="263"/>
      <c r="P428" s="170"/>
      <c r="Q428" s="263"/>
      <c r="R428" s="173"/>
    </row>
    <row r="429" spans="1:18" s="17" customFormat="1" ht="19.25" customHeight="1" x14ac:dyDescent="0.35">
      <c r="A429" s="67" t="str">
        <f>IF(TRIM(G429)&lt;&gt;"",COUNTA(G$11:$G429)&amp;"","")</f>
        <v/>
      </c>
      <c r="B429" s="29"/>
      <c r="C429" s="29"/>
      <c r="D429" s="193" t="s">
        <v>83</v>
      </c>
      <c r="E429" s="191" t="s">
        <v>82</v>
      </c>
      <c r="F429" s="69"/>
      <c r="G429" s="70"/>
      <c r="H429" s="21" t="str">
        <f t="shared" ref="H429:H433" si="722">IF(F429=0,"",0)</f>
        <v/>
      </c>
      <c r="I429" s="47" t="str">
        <f t="shared" ref="I429:I435" si="723">IF(F429=0,"",F429+(F429*H429))</f>
        <v/>
      </c>
      <c r="J429" s="265" t="str">
        <f t="shared" ref="J429" si="724">IF(F429=0,"",0)</f>
        <v/>
      </c>
      <c r="K429" s="268" t="str">
        <f t="shared" ref="K429:K435" si="725">IF(F429=0,"",J429*I429)</f>
        <v/>
      </c>
      <c r="L429" s="258" t="str">
        <f>IF(F429=0,"",L$428)</f>
        <v/>
      </c>
      <c r="M429" s="282" t="str">
        <f t="shared" ref="M429:M433" si="726">IF(F429=0,"",0)</f>
        <v/>
      </c>
      <c r="N429" s="22" t="str">
        <f t="shared" ref="N429:N435" si="727">IF(F429=0,"",M429*I429)</f>
        <v/>
      </c>
      <c r="O429" s="268" t="str">
        <f t="shared" ref="O429:O435" si="728">IF(F429=0,"",N429*L429)</f>
        <v/>
      </c>
      <c r="P429" s="23" t="str">
        <f t="shared" ref="P429:P435" si="729">IF(F429=0,"",(K429+O429)/I429)</f>
        <v/>
      </c>
      <c r="Q429" s="268" t="str">
        <f t="shared" ref="Q429:Q435" si="730">IF(F429=0,"",(P429*I429))</f>
        <v/>
      </c>
      <c r="R429" s="120"/>
    </row>
    <row r="430" spans="1:18" x14ac:dyDescent="0.35">
      <c r="A430" s="67" t="str">
        <f>IF(TRIM(G430)&lt;&gt;"",COUNTA(G$11:$G430)&amp;"","")</f>
        <v>269</v>
      </c>
      <c r="B430" s="310" t="s">
        <v>632</v>
      </c>
      <c r="C430" s="310" t="s">
        <v>632</v>
      </c>
      <c r="D430" s="30" t="s">
        <v>295</v>
      </c>
      <c r="E430" s="52" t="s">
        <v>584</v>
      </c>
      <c r="F430" s="69">
        <v>1006</v>
      </c>
      <c r="G430" s="70" t="s">
        <v>163</v>
      </c>
      <c r="H430" s="21">
        <v>0.1</v>
      </c>
      <c r="I430" s="47">
        <f t="shared" si="723"/>
        <v>1106.5999999999999</v>
      </c>
      <c r="J430" s="265">
        <v>1.5</v>
      </c>
      <c r="K430" s="268">
        <f t="shared" si="725"/>
        <v>1659.8999999999999</v>
      </c>
      <c r="L430" s="258">
        <f>IF(F430=0,"",L$428)</f>
        <v>52</v>
      </c>
      <c r="M430" s="282">
        <v>0.02</v>
      </c>
      <c r="N430" s="22">
        <f t="shared" si="727"/>
        <v>22.131999999999998</v>
      </c>
      <c r="O430" s="268">
        <f t="shared" si="728"/>
        <v>1150.8639999999998</v>
      </c>
      <c r="P430" s="23">
        <f t="shared" si="729"/>
        <v>2.54</v>
      </c>
      <c r="Q430" s="268">
        <f t="shared" si="730"/>
        <v>2810.7639999999997</v>
      </c>
      <c r="R430" s="118"/>
    </row>
    <row r="431" spans="1:18" x14ac:dyDescent="0.35">
      <c r="A431" s="67" t="str">
        <f>IF(TRIM(G431)&lt;&gt;"",COUNTA(G$11:$G431)&amp;"","")</f>
        <v>270</v>
      </c>
      <c r="B431" s="311"/>
      <c r="C431" s="311"/>
      <c r="D431" s="30" t="s">
        <v>295</v>
      </c>
      <c r="E431" s="52" t="s">
        <v>227</v>
      </c>
      <c r="F431" s="69">
        <v>509.33</v>
      </c>
      <c r="G431" s="70" t="s">
        <v>163</v>
      </c>
      <c r="H431" s="21">
        <v>0.1</v>
      </c>
      <c r="I431" s="47">
        <f t="shared" si="723"/>
        <v>560.26300000000003</v>
      </c>
      <c r="J431" s="265">
        <v>0.89</v>
      </c>
      <c r="K431" s="268">
        <f t="shared" si="725"/>
        <v>498.63407000000007</v>
      </c>
      <c r="L431" s="258">
        <f>IF(F431=0,"",L$428)</f>
        <v>52</v>
      </c>
      <c r="M431" s="282">
        <v>1.4999999999999999E-2</v>
      </c>
      <c r="N431" s="22">
        <f t="shared" si="727"/>
        <v>8.4039450000000002</v>
      </c>
      <c r="O431" s="268">
        <f t="shared" si="728"/>
        <v>437.00513999999998</v>
      </c>
      <c r="P431" s="23">
        <f t="shared" si="729"/>
        <v>1.67</v>
      </c>
      <c r="Q431" s="268">
        <f t="shared" si="730"/>
        <v>935.63921000000005</v>
      </c>
      <c r="R431" s="118"/>
    </row>
    <row r="432" spans="1:18" x14ac:dyDescent="0.35">
      <c r="A432" s="67" t="str">
        <f>IF(TRIM(G432)&lt;&gt;"",COUNTA(G$11:$G432)&amp;"","")</f>
        <v/>
      </c>
      <c r="B432" s="311"/>
      <c r="C432" s="311"/>
      <c r="D432" s="30"/>
      <c r="E432" s="52"/>
      <c r="F432" s="69"/>
      <c r="G432" s="70"/>
      <c r="H432" s="21"/>
      <c r="I432" s="47"/>
      <c r="J432" s="265"/>
      <c r="K432" s="268"/>
      <c r="L432" s="258"/>
      <c r="M432" s="282"/>
      <c r="N432" s="22"/>
      <c r="O432" s="268"/>
      <c r="P432" s="23"/>
      <c r="Q432" s="268"/>
      <c r="R432" s="118"/>
    </row>
    <row r="433" spans="1:18" s="17" customFormat="1" ht="19.25" customHeight="1" x14ac:dyDescent="0.35">
      <c r="A433" s="67" t="str">
        <f>IF(TRIM(G433)&lt;&gt;"",COUNTA(G$11:$G433)&amp;"","")</f>
        <v/>
      </c>
      <c r="B433" s="311"/>
      <c r="C433" s="311"/>
      <c r="D433" s="193" t="s">
        <v>85</v>
      </c>
      <c r="E433" s="191" t="s">
        <v>84</v>
      </c>
      <c r="F433" s="69"/>
      <c r="G433" s="70"/>
      <c r="H433" s="21" t="str">
        <f t="shared" si="722"/>
        <v/>
      </c>
      <c r="I433" s="47" t="str">
        <f t="shared" si="723"/>
        <v/>
      </c>
      <c r="J433" s="265"/>
      <c r="K433" s="268" t="str">
        <f t="shared" si="725"/>
        <v/>
      </c>
      <c r="L433" s="258" t="str">
        <f>IF(F433=0,"",L$428)</f>
        <v/>
      </c>
      <c r="M433" s="282" t="str">
        <f t="shared" si="726"/>
        <v/>
      </c>
      <c r="N433" s="22" t="str">
        <f t="shared" si="727"/>
        <v/>
      </c>
      <c r="O433" s="268" t="str">
        <f t="shared" si="728"/>
        <v/>
      </c>
      <c r="P433" s="23" t="str">
        <f t="shared" si="729"/>
        <v/>
      </c>
      <c r="Q433" s="268" t="str">
        <f t="shared" si="730"/>
        <v/>
      </c>
      <c r="R433" s="120"/>
    </row>
    <row r="434" spans="1:18" x14ac:dyDescent="0.35">
      <c r="A434" s="67" t="str">
        <f>IF(TRIM(G434)&lt;&gt;"",COUNTA(G$11:$G434)&amp;"","")</f>
        <v>271</v>
      </c>
      <c r="B434" s="311"/>
      <c r="C434" s="311"/>
      <c r="D434" s="30"/>
      <c r="E434" s="52" t="s">
        <v>434</v>
      </c>
      <c r="F434" s="69">
        <f>1.25*535.65</f>
        <v>669.5625</v>
      </c>
      <c r="G434" s="70" t="s">
        <v>163</v>
      </c>
      <c r="H434" s="21">
        <v>0.1</v>
      </c>
      <c r="I434" s="47">
        <f t="shared" si="723"/>
        <v>736.51874999999995</v>
      </c>
      <c r="J434" s="265">
        <v>3.5</v>
      </c>
      <c r="K434" s="268">
        <f t="shared" si="725"/>
        <v>2577.8156249999997</v>
      </c>
      <c r="L434" s="258">
        <f>IF(F434=0,"",L$428)</f>
        <v>52</v>
      </c>
      <c r="M434" s="282">
        <v>0.04</v>
      </c>
      <c r="N434" s="22">
        <f t="shared" si="727"/>
        <v>29.460749999999997</v>
      </c>
      <c r="O434" s="268">
        <f t="shared" si="728"/>
        <v>1531.9589999999998</v>
      </c>
      <c r="P434" s="23">
        <f t="shared" si="729"/>
        <v>5.58</v>
      </c>
      <c r="Q434" s="268">
        <f t="shared" si="730"/>
        <v>4109.774625</v>
      </c>
      <c r="R434" s="118"/>
    </row>
    <row r="435" spans="1:18" x14ac:dyDescent="0.35">
      <c r="A435" s="67" t="str">
        <f>IF(TRIM(G435)&lt;&gt;"",COUNTA(G$11:$G435)&amp;"","")</f>
        <v>272</v>
      </c>
      <c r="B435" s="311"/>
      <c r="C435" s="311"/>
      <c r="D435" s="30"/>
      <c r="E435" s="52" t="s">
        <v>435</v>
      </c>
      <c r="F435" s="69">
        <f>1.01*333.56</f>
        <v>336.8956</v>
      </c>
      <c r="G435" s="70" t="s">
        <v>163</v>
      </c>
      <c r="H435" s="21">
        <v>0.1</v>
      </c>
      <c r="I435" s="47">
        <f t="shared" si="723"/>
        <v>370.58515999999997</v>
      </c>
      <c r="J435" s="265">
        <v>18</v>
      </c>
      <c r="K435" s="268">
        <f t="shared" si="725"/>
        <v>6670.5328799999997</v>
      </c>
      <c r="L435" s="258">
        <f>IF(F435=0,"",L$428)</f>
        <v>52</v>
      </c>
      <c r="M435" s="282">
        <v>0.08</v>
      </c>
      <c r="N435" s="22">
        <f t="shared" si="727"/>
        <v>29.646812799999999</v>
      </c>
      <c r="O435" s="268">
        <f t="shared" si="728"/>
        <v>1541.6342655999999</v>
      </c>
      <c r="P435" s="23">
        <f t="shared" si="729"/>
        <v>22.160000000000004</v>
      </c>
      <c r="Q435" s="268">
        <f t="shared" si="730"/>
        <v>8212.1671456000004</v>
      </c>
      <c r="R435" s="118"/>
    </row>
    <row r="436" spans="1:18" x14ac:dyDescent="0.35">
      <c r="A436" s="67" t="str">
        <f>IF(TRIM(G436)&lt;&gt;"",COUNTA(G$11:$G436)&amp;"","")</f>
        <v>273</v>
      </c>
      <c r="B436" s="311"/>
      <c r="C436" s="311"/>
      <c r="D436" s="30"/>
      <c r="E436" s="52" t="s">
        <v>436</v>
      </c>
      <c r="F436" s="69">
        <f>F434+F435</f>
        <v>1006.4581000000001</v>
      </c>
      <c r="G436" s="70" t="s">
        <v>163</v>
      </c>
      <c r="H436" s="21">
        <v>0.1</v>
      </c>
      <c r="I436" s="47">
        <f t="shared" ref="I436" si="731">IF(F436=0,"",F436+(F436*H436))</f>
        <v>1107.10391</v>
      </c>
      <c r="J436" s="265">
        <v>0.25</v>
      </c>
      <c r="K436" s="268">
        <f t="shared" ref="K436" si="732">IF(F436=0,"",J436*I436)</f>
        <v>276.77597750000001</v>
      </c>
      <c r="L436" s="258">
        <f t="shared" ref="L436" si="733">IF(F436=0,"",L$428)</f>
        <v>52</v>
      </c>
      <c r="M436" s="282">
        <v>3.0000000000000001E-3</v>
      </c>
      <c r="N436" s="22">
        <f t="shared" ref="N436" si="734">IF(F436=0,"",M436*I436)</f>
        <v>3.3213117300000001</v>
      </c>
      <c r="O436" s="268">
        <f t="shared" ref="O436" si="735">IF(F436=0,"",N436*L436)</f>
        <v>172.70820996</v>
      </c>
      <c r="P436" s="23">
        <f t="shared" ref="P436" si="736">IF(F436=0,"",(K436+O436)/I436)</f>
        <v>0.40600000000000003</v>
      </c>
      <c r="Q436" s="268">
        <f t="shared" ref="Q436" si="737">IF(F436=0,"",(P436*I436))</f>
        <v>449.48418746000004</v>
      </c>
      <c r="R436" s="118"/>
    </row>
    <row r="437" spans="1:18" x14ac:dyDescent="0.35">
      <c r="A437" s="67" t="str">
        <f>IF(TRIM(G437)&lt;&gt;"",COUNTA(G$11:$G437)&amp;"","")</f>
        <v/>
      </c>
      <c r="B437" s="311"/>
      <c r="C437" s="311"/>
      <c r="D437" s="30"/>
      <c r="E437" s="52"/>
      <c r="F437" s="69"/>
      <c r="G437" s="70"/>
      <c r="H437" s="21" t="str">
        <f t="shared" ref="H437:H461" si="738">IF(F437=0,"",0)</f>
        <v/>
      </c>
      <c r="I437" s="47" t="str">
        <f t="shared" ref="I437:I461" si="739">IF(F437=0,"",F437+(F437*H437))</f>
        <v/>
      </c>
      <c r="J437" s="265"/>
      <c r="K437" s="268" t="str">
        <f t="shared" ref="K437:K461" si="740">IF(F437=0,"",J437*I437)</f>
        <v/>
      </c>
      <c r="L437" s="258" t="str">
        <f>IF(F437=0,"",L$428)</f>
        <v/>
      </c>
      <c r="M437" s="282" t="str">
        <f t="shared" ref="M437:M461" si="741">IF(F437=0,"",0)</f>
        <v/>
      </c>
      <c r="N437" s="22" t="str">
        <f t="shared" ref="N437:N461" si="742">IF(F437=0,"",M437*I437)</f>
        <v/>
      </c>
      <c r="O437" s="268" t="str">
        <f t="shared" ref="O437:O461" si="743">IF(F437=0,"",N437*L437)</f>
        <v/>
      </c>
      <c r="P437" s="23" t="str">
        <f t="shared" ref="P437:P461" si="744">IF(F437=0,"",(K437+O437)/I437)</f>
        <v/>
      </c>
      <c r="Q437" s="268" t="str">
        <f t="shared" ref="Q437:Q461" si="745">IF(F437=0,"",(P437*I437))</f>
        <v/>
      </c>
      <c r="R437" s="118"/>
    </row>
    <row r="438" spans="1:18" s="17" customFormat="1" ht="19.25" customHeight="1" x14ac:dyDescent="0.35">
      <c r="A438" s="67" t="str">
        <f>IF(TRIM(G438)&lt;&gt;"",COUNTA(G$11:$G438)&amp;"","")</f>
        <v/>
      </c>
      <c r="B438" s="311"/>
      <c r="C438" s="311"/>
      <c r="D438" s="193" t="s">
        <v>87</v>
      </c>
      <c r="E438" s="191" t="s">
        <v>86</v>
      </c>
      <c r="F438" s="69"/>
      <c r="G438" s="70"/>
      <c r="H438" s="21" t="str">
        <f t="shared" si="738"/>
        <v/>
      </c>
      <c r="I438" s="47" t="str">
        <f t="shared" si="739"/>
        <v/>
      </c>
      <c r="J438" s="265"/>
      <c r="K438" s="268" t="str">
        <f t="shared" si="740"/>
        <v/>
      </c>
      <c r="L438" s="258" t="str">
        <f>IF(F438=0,"",L$428)</f>
        <v/>
      </c>
      <c r="M438" s="282" t="str">
        <f t="shared" si="741"/>
        <v/>
      </c>
      <c r="N438" s="22" t="str">
        <f t="shared" si="742"/>
        <v/>
      </c>
      <c r="O438" s="268" t="str">
        <f t="shared" si="743"/>
        <v/>
      </c>
      <c r="P438" s="23" t="str">
        <f t="shared" si="744"/>
        <v/>
      </c>
      <c r="Q438" s="268" t="str">
        <f t="shared" si="745"/>
        <v/>
      </c>
      <c r="R438" s="120"/>
    </row>
    <row r="439" spans="1:18" x14ac:dyDescent="0.35">
      <c r="A439" s="67" t="str">
        <f>IF(TRIM(G439)&lt;&gt;"",COUNTA(G$11:$G439)&amp;"","")</f>
        <v>274</v>
      </c>
      <c r="B439" s="311"/>
      <c r="C439" s="311"/>
      <c r="D439" s="30"/>
      <c r="E439" s="52" t="s">
        <v>416</v>
      </c>
      <c r="F439" s="69">
        <v>487.12</v>
      </c>
      <c r="G439" s="70" t="s">
        <v>163</v>
      </c>
      <c r="H439" s="21">
        <v>0.1</v>
      </c>
      <c r="I439" s="47">
        <f t="shared" si="739"/>
        <v>535.83199999999999</v>
      </c>
      <c r="J439" s="265">
        <v>3.03</v>
      </c>
      <c r="K439" s="268">
        <f t="shared" si="740"/>
        <v>1623.5709599999998</v>
      </c>
      <c r="L439" s="258">
        <f>IF(F439=0,"",L$428)</f>
        <v>52</v>
      </c>
      <c r="M439" s="282">
        <v>3.2000000000000001E-2</v>
      </c>
      <c r="N439" s="22">
        <f t="shared" si="742"/>
        <v>17.146623999999999</v>
      </c>
      <c r="O439" s="268">
        <f t="shared" si="743"/>
        <v>891.62444799999992</v>
      </c>
      <c r="P439" s="23">
        <f t="shared" si="744"/>
        <v>4.6939999999999991</v>
      </c>
      <c r="Q439" s="268">
        <f t="shared" si="745"/>
        <v>2515.1954079999996</v>
      </c>
      <c r="R439" s="118"/>
    </row>
    <row r="440" spans="1:18" x14ac:dyDescent="0.35">
      <c r="A440" s="67" t="str">
        <f>IF(TRIM(G440)&lt;&gt;"",COUNTA(G$11:$G440)&amp;"","")</f>
        <v/>
      </c>
      <c r="B440" s="311"/>
      <c r="C440" s="311"/>
      <c r="D440" s="30"/>
      <c r="E440" s="52"/>
      <c r="F440" s="69"/>
      <c r="G440" s="70"/>
      <c r="H440" s="21"/>
      <c r="I440" s="47"/>
      <c r="J440" s="265"/>
      <c r="K440" s="268"/>
      <c r="L440" s="258"/>
      <c r="M440" s="282"/>
      <c r="N440" s="22"/>
      <c r="O440" s="268"/>
      <c r="P440" s="23"/>
      <c r="Q440" s="268"/>
      <c r="R440" s="118"/>
    </row>
    <row r="441" spans="1:18" x14ac:dyDescent="0.35">
      <c r="A441" s="67" t="str">
        <f>IF(TRIM(G441)&lt;&gt;"",COUNTA(G$11:$G441)&amp;"","")</f>
        <v/>
      </c>
      <c r="B441" s="311"/>
      <c r="C441" s="311"/>
      <c r="D441" s="30"/>
      <c r="E441" s="52"/>
      <c r="F441" s="69"/>
      <c r="G441" s="70"/>
      <c r="H441" s="21" t="str">
        <f t="shared" si="738"/>
        <v/>
      </c>
      <c r="I441" s="47" t="str">
        <f t="shared" si="739"/>
        <v/>
      </c>
      <c r="J441" s="265"/>
      <c r="K441" s="268" t="str">
        <f t="shared" si="740"/>
        <v/>
      </c>
      <c r="L441" s="258" t="str">
        <f t="shared" ref="L441:L446" si="746">IF(F441=0,"",L$428)</f>
        <v/>
      </c>
      <c r="M441" s="282" t="str">
        <f t="shared" si="741"/>
        <v/>
      </c>
      <c r="N441" s="22" t="str">
        <f t="shared" si="742"/>
        <v/>
      </c>
      <c r="O441" s="268" t="str">
        <f t="shared" si="743"/>
        <v/>
      </c>
      <c r="P441" s="23" t="str">
        <f t="shared" si="744"/>
        <v/>
      </c>
      <c r="Q441" s="268" t="str">
        <f t="shared" si="745"/>
        <v/>
      </c>
      <c r="R441" s="118"/>
    </row>
    <row r="442" spans="1:18" s="17" customFormat="1" ht="19.25" customHeight="1" x14ac:dyDescent="0.35">
      <c r="A442" s="67" t="str">
        <f>IF(TRIM(G442)&lt;&gt;"",COUNTA(G$11:$G442)&amp;"","")</f>
        <v/>
      </c>
      <c r="B442" s="311"/>
      <c r="C442" s="311"/>
      <c r="D442" s="193" t="s">
        <v>89</v>
      </c>
      <c r="E442" s="191" t="s">
        <v>88</v>
      </c>
      <c r="F442" s="69"/>
      <c r="G442" s="70"/>
      <c r="H442" s="21" t="str">
        <f t="shared" si="738"/>
        <v/>
      </c>
      <c r="I442" s="47" t="str">
        <f t="shared" si="739"/>
        <v/>
      </c>
      <c r="J442" s="265"/>
      <c r="K442" s="268" t="str">
        <f t="shared" si="740"/>
        <v/>
      </c>
      <c r="L442" s="258" t="str">
        <f t="shared" si="746"/>
        <v/>
      </c>
      <c r="M442" s="282" t="str">
        <f t="shared" si="741"/>
        <v/>
      </c>
      <c r="N442" s="22" t="str">
        <f t="shared" si="742"/>
        <v/>
      </c>
      <c r="O442" s="268" t="str">
        <f t="shared" si="743"/>
        <v/>
      </c>
      <c r="P442" s="23" t="str">
        <f t="shared" si="744"/>
        <v/>
      </c>
      <c r="Q442" s="268" t="str">
        <f t="shared" si="745"/>
        <v/>
      </c>
      <c r="R442" s="120"/>
    </row>
    <row r="443" spans="1:18" x14ac:dyDescent="0.35">
      <c r="A443" s="67" t="str">
        <f>IF(TRIM(G443)&lt;&gt;"",COUNTA(G$11:$G443)&amp;"","")</f>
        <v>275</v>
      </c>
      <c r="B443" s="311"/>
      <c r="C443" s="311"/>
      <c r="D443" s="30"/>
      <c r="E443" s="52" t="s">
        <v>427</v>
      </c>
      <c r="F443" s="69">
        <v>76.260000000000005</v>
      </c>
      <c r="G443" s="70" t="s">
        <v>177</v>
      </c>
      <c r="H443" s="21">
        <v>0.1</v>
      </c>
      <c r="I443" s="47">
        <f t="shared" si="739"/>
        <v>83.88600000000001</v>
      </c>
      <c r="J443" s="265">
        <v>12</v>
      </c>
      <c r="K443" s="268">
        <f t="shared" si="740"/>
        <v>1006.6320000000001</v>
      </c>
      <c r="L443" s="258">
        <f t="shared" si="746"/>
        <v>52</v>
      </c>
      <c r="M443" s="282">
        <v>4.2000000000000003E-2</v>
      </c>
      <c r="N443" s="22">
        <f t="shared" si="742"/>
        <v>3.5232120000000005</v>
      </c>
      <c r="O443" s="268">
        <f t="shared" si="743"/>
        <v>183.20702400000002</v>
      </c>
      <c r="P443" s="23">
        <f t="shared" si="744"/>
        <v>14.183999999999999</v>
      </c>
      <c r="Q443" s="268">
        <f t="shared" si="745"/>
        <v>1189.8390240000001</v>
      </c>
      <c r="R443" s="118"/>
    </row>
    <row r="444" spans="1:18" x14ac:dyDescent="0.35">
      <c r="A444" s="67" t="str">
        <f>IF(TRIM(G444)&lt;&gt;"",COUNTA(G$11:$G444)&amp;"","")</f>
        <v>276</v>
      </c>
      <c r="B444" s="311"/>
      <c r="C444" s="311"/>
      <c r="D444" s="30"/>
      <c r="E444" s="52" t="s">
        <v>229</v>
      </c>
      <c r="F444" s="69">
        <v>39.619999999999997</v>
      </c>
      <c r="G444" s="70" t="s">
        <v>177</v>
      </c>
      <c r="H444" s="21">
        <v>0.1</v>
      </c>
      <c r="I444" s="47">
        <f t="shared" si="739"/>
        <v>43.581999999999994</v>
      </c>
      <c r="J444" s="265">
        <v>8.5</v>
      </c>
      <c r="K444" s="268">
        <f t="shared" si="740"/>
        <v>370.44699999999995</v>
      </c>
      <c r="L444" s="258">
        <f t="shared" si="746"/>
        <v>52</v>
      </c>
      <c r="M444" s="282">
        <v>3.5999999999999997E-2</v>
      </c>
      <c r="N444" s="22">
        <f t="shared" si="742"/>
        <v>1.5689519999999997</v>
      </c>
      <c r="O444" s="268">
        <f t="shared" si="743"/>
        <v>81.585503999999986</v>
      </c>
      <c r="P444" s="23">
        <f t="shared" si="744"/>
        <v>10.372</v>
      </c>
      <c r="Q444" s="268">
        <f t="shared" si="745"/>
        <v>452.0325039999999</v>
      </c>
      <c r="R444" s="118"/>
    </row>
    <row r="445" spans="1:18" x14ac:dyDescent="0.35">
      <c r="A445" s="67" t="str">
        <f>IF(TRIM(G445)&lt;&gt;"",COUNTA(G$11:$G445)&amp;"","")</f>
        <v>277</v>
      </c>
      <c r="B445" s="311"/>
      <c r="C445" s="311"/>
      <c r="D445" s="30"/>
      <c r="E445" s="52" t="s">
        <v>428</v>
      </c>
      <c r="F445" s="69">
        <v>2.04</v>
      </c>
      <c r="G445" s="70" t="s">
        <v>177</v>
      </c>
      <c r="H445" s="21">
        <v>0.1</v>
      </c>
      <c r="I445" s="47">
        <f t="shared" si="739"/>
        <v>2.2440000000000002</v>
      </c>
      <c r="J445" s="265">
        <v>9</v>
      </c>
      <c r="K445" s="268">
        <f t="shared" si="740"/>
        <v>20.196000000000002</v>
      </c>
      <c r="L445" s="258">
        <f t="shared" si="746"/>
        <v>52</v>
      </c>
      <c r="M445" s="282">
        <v>3.5999999999999997E-2</v>
      </c>
      <c r="N445" s="22">
        <f t="shared" si="742"/>
        <v>8.0784000000000009E-2</v>
      </c>
      <c r="O445" s="268">
        <f t="shared" si="743"/>
        <v>4.2007680000000001</v>
      </c>
      <c r="P445" s="23">
        <f t="shared" si="744"/>
        <v>10.872</v>
      </c>
      <c r="Q445" s="268">
        <f t="shared" si="745"/>
        <v>24.396768000000002</v>
      </c>
      <c r="R445" s="118"/>
    </row>
    <row r="446" spans="1:18" x14ac:dyDescent="0.35">
      <c r="A446" s="67" t="str">
        <f>IF(TRIM(G446)&lt;&gt;"",COUNTA(G$11:$G446)&amp;"","")</f>
        <v>278</v>
      </c>
      <c r="B446" s="311"/>
      <c r="C446" s="311"/>
      <c r="D446" s="30"/>
      <c r="E446" s="52" t="s">
        <v>504</v>
      </c>
      <c r="F446" s="69">
        <v>12.87</v>
      </c>
      <c r="G446" s="70" t="s">
        <v>177</v>
      </c>
      <c r="H446" s="21">
        <v>0.1</v>
      </c>
      <c r="I446" s="47">
        <f t="shared" ref="I446" si="747">IF(F446=0,"",F446+(F446*H446))</f>
        <v>14.157</v>
      </c>
      <c r="J446" s="265">
        <v>5.5</v>
      </c>
      <c r="K446" s="268">
        <f t="shared" ref="K446" si="748">IF(F446=0,"",J446*I446)</f>
        <v>77.863500000000002</v>
      </c>
      <c r="L446" s="258">
        <f t="shared" si="746"/>
        <v>52</v>
      </c>
      <c r="M446" s="282">
        <v>2.4E-2</v>
      </c>
      <c r="N446" s="22">
        <f t="shared" ref="N446" si="749">IF(F446=0,"",M446*I446)</f>
        <v>0.33976800000000001</v>
      </c>
      <c r="O446" s="268">
        <f t="shared" ref="O446" si="750">IF(F446=0,"",N446*L446)</f>
        <v>17.667936000000001</v>
      </c>
      <c r="P446" s="23">
        <f t="shared" ref="P446" si="751">IF(F446=0,"",(K446+O446)/I446)</f>
        <v>6.7480000000000002</v>
      </c>
      <c r="Q446" s="268">
        <f t="shared" ref="Q446" si="752">IF(F446=0,"",(P446*I446))</f>
        <v>95.531435999999999</v>
      </c>
      <c r="R446" s="118"/>
    </row>
    <row r="447" spans="1:18" x14ac:dyDescent="0.35">
      <c r="A447" s="67" t="str">
        <f>IF(TRIM(G447)&lt;&gt;"",COUNTA(G$11:$G447)&amp;"","")</f>
        <v/>
      </c>
      <c r="B447" s="311"/>
      <c r="C447" s="311"/>
      <c r="D447" s="30"/>
      <c r="E447" s="52"/>
      <c r="F447" s="69"/>
      <c r="G447" s="70"/>
      <c r="H447" s="21"/>
      <c r="I447" s="47"/>
      <c r="J447" s="265"/>
      <c r="K447" s="268"/>
      <c r="L447" s="258"/>
      <c r="M447" s="282"/>
      <c r="N447" s="22"/>
      <c r="O447" s="268"/>
      <c r="P447" s="23"/>
      <c r="Q447" s="268"/>
      <c r="R447" s="118"/>
    </row>
    <row r="448" spans="1:18" s="17" customFormat="1" ht="19.25" customHeight="1" x14ac:dyDescent="0.35">
      <c r="A448" s="67" t="str">
        <f>IF(TRIM(G448)&lt;&gt;"",COUNTA(G$11:$G448)&amp;"","")</f>
        <v/>
      </c>
      <c r="B448" s="311"/>
      <c r="C448" s="311"/>
      <c r="D448" s="193" t="s">
        <v>201</v>
      </c>
      <c r="E448" s="191" t="s">
        <v>90</v>
      </c>
      <c r="F448" s="69"/>
      <c r="G448" s="70"/>
      <c r="H448" s="21" t="str">
        <f t="shared" si="738"/>
        <v/>
      </c>
      <c r="I448" s="47" t="str">
        <f t="shared" si="739"/>
        <v/>
      </c>
      <c r="J448" s="265"/>
      <c r="K448" s="268" t="str">
        <f t="shared" si="740"/>
        <v/>
      </c>
      <c r="L448" s="258" t="str">
        <f>IF(F448=0,"",L$428)</f>
        <v/>
      </c>
      <c r="M448" s="282" t="str">
        <f t="shared" si="741"/>
        <v/>
      </c>
      <c r="N448" s="22" t="str">
        <f t="shared" si="742"/>
        <v/>
      </c>
      <c r="O448" s="268" t="str">
        <f t="shared" si="743"/>
        <v/>
      </c>
      <c r="P448" s="23" t="str">
        <f t="shared" si="744"/>
        <v/>
      </c>
      <c r="Q448" s="268" t="str">
        <f t="shared" si="745"/>
        <v/>
      </c>
      <c r="R448" s="120"/>
    </row>
    <row r="449" spans="1:18" x14ac:dyDescent="0.35">
      <c r="A449" s="67" t="str">
        <f>IF(TRIM(G449)&lt;&gt;"",COUNTA(G$11:$G449)&amp;"","")</f>
        <v>279</v>
      </c>
      <c r="B449" s="311"/>
      <c r="C449" s="311"/>
      <c r="D449" s="30"/>
      <c r="E449" s="52" t="s">
        <v>430</v>
      </c>
      <c r="F449" s="69">
        <f>184*3</f>
        <v>552</v>
      </c>
      <c r="G449" s="70" t="s">
        <v>163</v>
      </c>
      <c r="H449" s="21">
        <v>0.1</v>
      </c>
      <c r="I449" s="47">
        <f t="shared" ref="I449:I452" si="753">IF(F449=0,"",F449+(F449*H449))</f>
        <v>607.20000000000005</v>
      </c>
      <c r="J449" s="265">
        <v>0.35</v>
      </c>
      <c r="K449" s="268">
        <f t="shared" ref="K449:K452" si="754">IF(F449=0,"",J449*I449)</f>
        <v>212.52</v>
      </c>
      <c r="L449" s="258">
        <f>IF(F449=0,"",L$428)</f>
        <v>52</v>
      </c>
      <c r="M449" s="282">
        <v>3.0000000000000001E-3</v>
      </c>
      <c r="N449" s="22">
        <f t="shared" ref="N449:N452" si="755">IF(F449=0,"",M449*I449)</f>
        <v>1.8216000000000001</v>
      </c>
      <c r="O449" s="268">
        <f t="shared" ref="O449:O452" si="756">IF(F449=0,"",N449*L449)</f>
        <v>94.723200000000006</v>
      </c>
      <c r="P449" s="23">
        <f t="shared" ref="P449:P452" si="757">IF(F449=0,"",(K449+O449)/I449)</f>
        <v>0.50600000000000001</v>
      </c>
      <c r="Q449" s="268">
        <f t="shared" ref="Q449:Q452" si="758">IF(F449=0,"",(P449*I449))</f>
        <v>307.2432</v>
      </c>
      <c r="R449" s="118"/>
    </row>
    <row r="450" spans="1:18" x14ac:dyDescent="0.35">
      <c r="A450" s="67" t="str">
        <f>IF(TRIM(G450)&lt;&gt;"",COUNTA(G$11:$G450)&amp;"","")</f>
        <v>280</v>
      </c>
      <c r="B450" s="311"/>
      <c r="C450" s="311"/>
      <c r="D450" s="30"/>
      <c r="E450" s="52" t="s">
        <v>429</v>
      </c>
      <c r="F450" s="69">
        <v>183.57</v>
      </c>
      <c r="G450" s="70" t="s">
        <v>177</v>
      </c>
      <c r="H450" s="21">
        <v>0.1</v>
      </c>
      <c r="I450" s="47">
        <f t="shared" si="753"/>
        <v>201.92699999999999</v>
      </c>
      <c r="J450" s="265">
        <v>1.85</v>
      </c>
      <c r="K450" s="268">
        <f t="shared" si="754"/>
        <v>373.56495000000001</v>
      </c>
      <c r="L450" s="258">
        <f>IF(F450=0,"",L$428)</f>
        <v>52</v>
      </c>
      <c r="M450" s="282">
        <v>0.02</v>
      </c>
      <c r="N450" s="22">
        <f t="shared" si="755"/>
        <v>4.0385400000000002</v>
      </c>
      <c r="O450" s="268">
        <f t="shared" si="756"/>
        <v>210.00408000000002</v>
      </c>
      <c r="P450" s="23">
        <f t="shared" si="757"/>
        <v>2.89</v>
      </c>
      <c r="Q450" s="268">
        <f t="shared" si="758"/>
        <v>583.56903</v>
      </c>
      <c r="R450" s="118"/>
    </row>
    <row r="451" spans="1:18" x14ac:dyDescent="0.35">
      <c r="A451" s="67" t="str">
        <f>IF(TRIM(G451)&lt;&gt;"",COUNTA(G$11:$G451)&amp;"","")</f>
        <v>281</v>
      </c>
      <c r="B451" s="311"/>
      <c r="C451" s="311"/>
      <c r="D451" s="30"/>
      <c r="E451" s="52" t="s">
        <v>431</v>
      </c>
      <c r="F451" s="69">
        <v>131.30000000000001</v>
      </c>
      <c r="G451" s="70" t="s">
        <v>177</v>
      </c>
      <c r="H451" s="21">
        <v>0.1</v>
      </c>
      <c r="I451" s="47">
        <f t="shared" si="753"/>
        <v>144.43</v>
      </c>
      <c r="J451" s="265">
        <v>6.8</v>
      </c>
      <c r="K451" s="268">
        <f t="shared" si="754"/>
        <v>982.12400000000002</v>
      </c>
      <c r="L451" s="258">
        <f>IF(F451=0,"",L$428)</f>
        <v>52</v>
      </c>
      <c r="M451" s="282">
        <v>6.5000000000000002E-2</v>
      </c>
      <c r="N451" s="22">
        <f t="shared" si="755"/>
        <v>9.38795</v>
      </c>
      <c r="O451" s="268">
        <f t="shared" si="756"/>
        <v>488.17340000000002</v>
      </c>
      <c r="P451" s="23">
        <f t="shared" si="757"/>
        <v>10.18</v>
      </c>
      <c r="Q451" s="268">
        <f t="shared" si="758"/>
        <v>1470.2973999999999</v>
      </c>
      <c r="R451" s="118"/>
    </row>
    <row r="452" spans="1:18" x14ac:dyDescent="0.35">
      <c r="A452" s="67" t="str">
        <f>IF(TRIM(G452)&lt;&gt;"",COUNTA(G$11:$G452)&amp;"","")</f>
        <v>282</v>
      </c>
      <c r="B452" s="311"/>
      <c r="C452" s="311"/>
      <c r="D452" s="30"/>
      <c r="E452" s="52" t="s">
        <v>432</v>
      </c>
      <c r="F452" s="69">
        <v>62.87</v>
      </c>
      <c r="G452" s="70" t="s">
        <v>177</v>
      </c>
      <c r="H452" s="21">
        <v>0.1</v>
      </c>
      <c r="I452" s="47">
        <f t="shared" si="753"/>
        <v>69.156999999999996</v>
      </c>
      <c r="J452" s="265">
        <v>7</v>
      </c>
      <c r="K452" s="268">
        <f t="shared" si="754"/>
        <v>484.09899999999999</v>
      </c>
      <c r="L452" s="258">
        <f>IF(F452=0,"",L$428)</f>
        <v>52</v>
      </c>
      <c r="M452" s="282">
        <v>6.8000000000000005E-2</v>
      </c>
      <c r="N452" s="22">
        <f t="shared" si="755"/>
        <v>4.7026760000000003</v>
      </c>
      <c r="O452" s="268">
        <f t="shared" si="756"/>
        <v>244.539152</v>
      </c>
      <c r="P452" s="23">
        <f t="shared" si="757"/>
        <v>10.536</v>
      </c>
      <c r="Q452" s="268">
        <f t="shared" si="758"/>
        <v>728.63815199999999</v>
      </c>
      <c r="R452" s="118"/>
    </row>
    <row r="453" spans="1:18" x14ac:dyDescent="0.35">
      <c r="A453" s="67" t="str">
        <f>IF(TRIM(G453)&lt;&gt;"",COUNTA(G$11:$G453)&amp;"","")</f>
        <v>283</v>
      </c>
      <c r="B453" s="311"/>
      <c r="C453" s="311"/>
      <c r="D453" s="30"/>
      <c r="E453" s="52" t="s">
        <v>433</v>
      </c>
      <c r="F453" s="69">
        <v>25.36</v>
      </c>
      <c r="G453" s="70" t="s">
        <v>177</v>
      </c>
      <c r="H453" s="21">
        <v>0.1</v>
      </c>
      <c r="I453" s="47">
        <f t="shared" ref="I453" si="759">IF(F453=0,"",F453+(F453*H453))</f>
        <v>27.896000000000001</v>
      </c>
      <c r="J453" s="265">
        <v>2.2999999999999998</v>
      </c>
      <c r="K453" s="268">
        <f t="shared" ref="K453" si="760">IF(F453=0,"",J453*I453)</f>
        <v>64.160799999999995</v>
      </c>
      <c r="L453" s="258">
        <f t="shared" ref="L453" si="761">IF(F453=0,"",L$428)</f>
        <v>52</v>
      </c>
      <c r="M453" s="282">
        <v>2.4E-2</v>
      </c>
      <c r="N453" s="22">
        <f t="shared" ref="N453" si="762">IF(F453=0,"",M453*I453)</f>
        <v>0.66950399999999999</v>
      </c>
      <c r="O453" s="268">
        <f t="shared" ref="O453" si="763">IF(F453=0,"",N453*L453)</f>
        <v>34.814208000000001</v>
      </c>
      <c r="P453" s="23">
        <f t="shared" ref="P453" si="764">IF(F453=0,"",(K453+O453)/I453)</f>
        <v>3.548</v>
      </c>
      <c r="Q453" s="268">
        <f t="shared" ref="Q453" si="765">IF(F453=0,"",(P453*I453))</f>
        <v>98.975008000000003</v>
      </c>
      <c r="R453" s="118"/>
    </row>
    <row r="454" spans="1:18" x14ac:dyDescent="0.35">
      <c r="A454" s="67" t="str">
        <f>IF(TRIM(G454)&lt;&gt;"",COUNTA(G$11:$G454)&amp;"","")</f>
        <v>284</v>
      </c>
      <c r="B454" s="311"/>
      <c r="C454" s="311"/>
      <c r="D454" s="30"/>
      <c r="E454" s="52" t="s">
        <v>546</v>
      </c>
      <c r="F454" s="69">
        <v>35.42</v>
      </c>
      <c r="G454" s="70" t="s">
        <v>177</v>
      </c>
      <c r="H454" s="21">
        <v>0.1</v>
      </c>
      <c r="I454" s="47">
        <f>IF(F454=0,"",F454+(F454*H454))</f>
        <v>38.962000000000003</v>
      </c>
      <c r="J454" s="265">
        <v>5.12</v>
      </c>
      <c r="K454" s="268">
        <f>IF(F454=0,"",J454*I454)</f>
        <v>199.48544000000001</v>
      </c>
      <c r="L454" s="258">
        <f>IF(F454=0,"",L$428)</f>
        <v>52</v>
      </c>
      <c r="M454" s="282">
        <v>3.2000000000000001E-2</v>
      </c>
      <c r="N454" s="22">
        <f>IF(F454=0,"",M454*I454)</f>
        <v>1.2467840000000001</v>
      </c>
      <c r="O454" s="268">
        <f>IF(F454=0,"",N454*L454)</f>
        <v>64.832768000000002</v>
      </c>
      <c r="P454" s="23">
        <f>IF(F454=0,"",(K454+O454)/I454)</f>
        <v>6.7839999999999998</v>
      </c>
      <c r="Q454" s="268">
        <f>IF(F454=0,"",(P454*I454))</f>
        <v>264.31820800000003</v>
      </c>
      <c r="R454" s="118"/>
    </row>
    <row r="455" spans="1:18" x14ac:dyDescent="0.35">
      <c r="A455" s="67" t="str">
        <f>IF(TRIM(G455)&lt;&gt;"",COUNTA(G$11:$G455)&amp;"","")</f>
        <v>285</v>
      </c>
      <c r="B455" s="311"/>
      <c r="C455" s="311"/>
      <c r="D455" s="30"/>
      <c r="E455" s="242" t="s">
        <v>547</v>
      </c>
      <c r="F455" s="69">
        <v>35.42</v>
      </c>
      <c r="G455" s="70" t="s">
        <v>177</v>
      </c>
      <c r="H455" s="21">
        <v>0.1</v>
      </c>
      <c r="I455" s="47">
        <f t="shared" ref="I455:I457" si="766">IF(F455=0,"",F455+(F455*H455))</f>
        <v>38.962000000000003</v>
      </c>
      <c r="J455" s="265">
        <v>1.85</v>
      </c>
      <c r="K455" s="268">
        <f t="shared" ref="K455:K456" si="767">IF(F455=0,"",J455*I455)</f>
        <v>72.079700000000003</v>
      </c>
      <c r="L455" s="258">
        <f>IF(F455=0,"",L$428)</f>
        <v>52</v>
      </c>
      <c r="M455" s="282">
        <v>2.1999999999999999E-2</v>
      </c>
      <c r="N455" s="22">
        <f t="shared" ref="N455:N457" si="768">IF(F455=0,"",M455*I455)</f>
        <v>0.85716400000000004</v>
      </c>
      <c r="O455" s="268">
        <f t="shared" ref="O455:O457" si="769">IF(F455=0,"",N455*L455)</f>
        <v>44.572528000000005</v>
      </c>
      <c r="P455" s="23">
        <f t="shared" ref="P455:P457" si="770">IF(F455=0,"",(K455+O455)/I455)</f>
        <v>2.9939999999999998</v>
      </c>
      <c r="Q455" s="268">
        <f t="shared" ref="Q455:Q457" si="771">IF(F455=0,"",(P455*I455))</f>
        <v>116.65222800000001</v>
      </c>
      <c r="R455" s="118"/>
    </row>
    <row r="456" spans="1:18" x14ac:dyDescent="0.35">
      <c r="A456" s="67" t="str">
        <f>IF(TRIM(G456)&lt;&gt;"",COUNTA(G$11:$G456)&amp;"","")</f>
        <v>286</v>
      </c>
      <c r="B456" s="311"/>
      <c r="C456" s="311"/>
      <c r="D456" s="30"/>
      <c r="E456" s="242" t="s">
        <v>548</v>
      </c>
      <c r="F456" s="69">
        <f>50.64+35.42+42.43</f>
        <v>128.49</v>
      </c>
      <c r="G456" s="70" t="s">
        <v>177</v>
      </c>
      <c r="H456" s="21">
        <v>0.1</v>
      </c>
      <c r="I456" s="47">
        <f t="shared" si="766"/>
        <v>141.339</v>
      </c>
      <c r="J456" s="265">
        <v>1.25</v>
      </c>
      <c r="K456" s="268">
        <f t="shared" si="767"/>
        <v>176.67374999999998</v>
      </c>
      <c r="L456" s="258">
        <f>IF(F456=0,"",L$428)</f>
        <v>52</v>
      </c>
      <c r="M456" s="282">
        <v>5.7500000000000002E-2</v>
      </c>
      <c r="N456" s="22">
        <f t="shared" si="768"/>
        <v>8.1269925000000001</v>
      </c>
      <c r="O456" s="268">
        <f t="shared" si="769"/>
        <v>422.60361</v>
      </c>
      <c r="P456" s="23">
        <f t="shared" si="770"/>
        <v>4.24</v>
      </c>
      <c r="Q456" s="268">
        <f t="shared" si="771"/>
        <v>599.27736000000004</v>
      </c>
      <c r="R456" s="118"/>
    </row>
    <row r="457" spans="1:18" x14ac:dyDescent="0.35">
      <c r="A457" s="67" t="str">
        <f>IF(TRIM(G457)&lt;&gt;"",COUNTA(G$11:$G457)&amp;"","")</f>
        <v>287</v>
      </c>
      <c r="B457" s="311"/>
      <c r="C457" s="311"/>
      <c r="D457" s="30"/>
      <c r="E457" s="242" t="s">
        <v>549</v>
      </c>
      <c r="F457" s="69">
        <f>50.64+35.42+41.28</f>
        <v>127.34</v>
      </c>
      <c r="G457" s="70" t="s">
        <v>177</v>
      </c>
      <c r="H457" s="21">
        <v>0.1</v>
      </c>
      <c r="I457" s="47">
        <f t="shared" si="766"/>
        <v>140.07400000000001</v>
      </c>
      <c r="J457" s="265">
        <v>1.25</v>
      </c>
      <c r="K457" s="268">
        <f t="shared" ref="K457" si="772">IF(F457=0,"",J457*I457)</f>
        <v>175.09250000000003</v>
      </c>
      <c r="L457" s="258">
        <f>IF(F457=0,"",L$428)</f>
        <v>52</v>
      </c>
      <c r="M457" s="282">
        <v>5.7500000000000002E-2</v>
      </c>
      <c r="N457" s="22">
        <f t="shared" si="768"/>
        <v>8.0542550000000013</v>
      </c>
      <c r="O457" s="268">
        <f t="shared" si="769"/>
        <v>418.82126000000005</v>
      </c>
      <c r="P457" s="23">
        <f t="shared" si="770"/>
        <v>4.24</v>
      </c>
      <c r="Q457" s="268">
        <f t="shared" si="771"/>
        <v>593.91376000000014</v>
      </c>
      <c r="R457" s="118"/>
    </row>
    <row r="458" spans="1:18" x14ac:dyDescent="0.35">
      <c r="A458" s="67" t="str">
        <f>IF(TRIM(G458)&lt;&gt;"",COUNTA(G$11:$G458)&amp;"","")</f>
        <v>288</v>
      </c>
      <c r="B458" s="311"/>
      <c r="C458" s="311"/>
      <c r="D458" s="30"/>
      <c r="E458" s="242" t="s">
        <v>550</v>
      </c>
      <c r="F458" s="69">
        <f>42.43+42+43+50.64</f>
        <v>178.07</v>
      </c>
      <c r="G458" s="70" t="s">
        <v>177</v>
      </c>
      <c r="H458" s="21">
        <v>0.1</v>
      </c>
      <c r="I458" s="47">
        <f t="shared" ref="I458:I459" si="773">IF(F458=0,"",F458+(F458*H458))</f>
        <v>195.87699999999998</v>
      </c>
      <c r="J458" s="265">
        <v>2.2999999999999998</v>
      </c>
      <c r="K458" s="268">
        <f t="shared" ref="K458:K459" si="774">IF(F458=0,"",J458*I458)</f>
        <v>450.51709999999991</v>
      </c>
      <c r="L458" s="258">
        <f t="shared" ref="L458:L459" si="775">IF(F458=0,"",L$428)</f>
        <v>52</v>
      </c>
      <c r="M458" s="282">
        <v>7.1099999999999997E-2</v>
      </c>
      <c r="N458" s="22">
        <f t="shared" ref="N458:N459" si="776">IF(F458=0,"",M458*I458)</f>
        <v>13.926854699999998</v>
      </c>
      <c r="O458" s="268">
        <f t="shared" ref="O458:O459" si="777">IF(F458=0,"",N458*L458)</f>
        <v>724.1964443999999</v>
      </c>
      <c r="P458" s="23">
        <f t="shared" ref="P458:P459" si="778">IF(F458=0,"",(K458+O458)/I458)</f>
        <v>5.9971999999999994</v>
      </c>
      <c r="Q458" s="268">
        <f t="shared" ref="Q458:Q459" si="779">IF(F458=0,"",(P458*I458))</f>
        <v>1174.7135443999998</v>
      </c>
      <c r="R458" s="118"/>
    </row>
    <row r="459" spans="1:18" x14ac:dyDescent="0.35">
      <c r="A459" s="67" t="str">
        <f>IF(TRIM(G459)&lt;&gt;"",COUNTA(G$11:$G459)&amp;"","")</f>
        <v>289</v>
      </c>
      <c r="B459" s="311"/>
      <c r="C459" s="311"/>
      <c r="D459" s="30"/>
      <c r="E459" s="242" t="s">
        <v>551</v>
      </c>
      <c r="F459" s="69">
        <f>42.43+50.64</f>
        <v>93.07</v>
      </c>
      <c r="G459" s="70" t="s">
        <v>177</v>
      </c>
      <c r="H459" s="21">
        <v>0.1</v>
      </c>
      <c r="I459" s="47">
        <f t="shared" si="773"/>
        <v>102.377</v>
      </c>
      <c r="J459" s="265">
        <v>0.78</v>
      </c>
      <c r="K459" s="268">
        <f t="shared" si="774"/>
        <v>79.854060000000004</v>
      </c>
      <c r="L459" s="258">
        <f t="shared" si="775"/>
        <v>52</v>
      </c>
      <c r="M459" s="282">
        <v>4.7500000000000001E-2</v>
      </c>
      <c r="N459" s="22">
        <f t="shared" si="776"/>
        <v>4.8629074999999995</v>
      </c>
      <c r="O459" s="268">
        <f t="shared" si="777"/>
        <v>252.87118999999998</v>
      </c>
      <c r="P459" s="23">
        <f t="shared" si="778"/>
        <v>3.2499999999999996</v>
      </c>
      <c r="Q459" s="268">
        <f t="shared" si="779"/>
        <v>332.72524999999996</v>
      </c>
      <c r="R459" s="118"/>
    </row>
    <row r="460" spans="1:18" x14ac:dyDescent="0.35">
      <c r="A460" s="67" t="str">
        <f>IF(TRIM(G460)&lt;&gt;"",COUNTA(G$11:$G460)&amp;"","")</f>
        <v>290</v>
      </c>
      <c r="B460" s="312"/>
      <c r="C460" s="312"/>
      <c r="D460" s="30"/>
      <c r="E460" s="242" t="s">
        <v>553</v>
      </c>
      <c r="F460" s="69">
        <v>41.28</v>
      </c>
      <c r="G460" s="70" t="s">
        <v>177</v>
      </c>
      <c r="H460" s="21">
        <v>0.1</v>
      </c>
      <c r="I460" s="47">
        <f t="shared" ref="I460" si="780">IF(F460=0,"",F460+(F460*H460))</f>
        <v>45.408000000000001</v>
      </c>
      <c r="J460" s="265">
        <v>1.0900000000000001</v>
      </c>
      <c r="K460" s="268">
        <f t="shared" ref="K460" si="781">IF(F460=0,"",J460*I460)</f>
        <v>49.494720000000008</v>
      </c>
      <c r="L460" s="258">
        <f t="shared" ref="L460" si="782">IF(F460=0,"",L$428)</f>
        <v>52</v>
      </c>
      <c r="M460" s="282">
        <v>4.2000000000000003E-2</v>
      </c>
      <c r="N460" s="22">
        <f t="shared" ref="N460" si="783">IF(F460=0,"",M460*I460)</f>
        <v>1.9071360000000002</v>
      </c>
      <c r="O460" s="268">
        <f t="shared" ref="O460" si="784">IF(F460=0,"",N460*L460)</f>
        <v>99.171072000000009</v>
      </c>
      <c r="P460" s="23">
        <f t="shared" ref="P460" si="785">IF(F460=0,"",(K460+O460)/I460)</f>
        <v>3.274</v>
      </c>
      <c r="Q460" s="268">
        <f t="shared" ref="Q460" si="786">IF(F460=0,"",(P460*I460))</f>
        <v>148.66579200000001</v>
      </c>
      <c r="R460" s="118"/>
    </row>
    <row r="461" spans="1:18" ht="15" thickBot="1" x14ac:dyDescent="0.4">
      <c r="A461" s="67" t="str">
        <f>IF(TRIM(G461)&lt;&gt;"",COUNTA(G$11:$G461)&amp;"","")</f>
        <v/>
      </c>
      <c r="B461" s="71"/>
      <c r="C461" s="71"/>
      <c r="D461" s="30"/>
      <c r="E461" s="72"/>
      <c r="F461" s="69"/>
      <c r="G461" s="70"/>
      <c r="H461" s="21" t="str">
        <f t="shared" si="738"/>
        <v/>
      </c>
      <c r="I461" s="47" t="str">
        <f t="shared" si="739"/>
        <v/>
      </c>
      <c r="J461" s="265" t="str">
        <f t="shared" ref="J461" si="787">IF(F461=0,"",0)</f>
        <v/>
      </c>
      <c r="K461" s="268" t="str">
        <f t="shared" si="740"/>
        <v/>
      </c>
      <c r="L461" s="258" t="str">
        <f>IF(F461=0,"",L$428)</f>
        <v/>
      </c>
      <c r="M461" s="282" t="str">
        <f t="shared" si="741"/>
        <v/>
      </c>
      <c r="N461" s="22" t="str">
        <f t="shared" si="742"/>
        <v/>
      </c>
      <c r="O461" s="268" t="str">
        <f t="shared" si="743"/>
        <v/>
      </c>
      <c r="P461" s="23" t="str">
        <f t="shared" si="744"/>
        <v/>
      </c>
      <c r="Q461" s="268" t="str">
        <f t="shared" si="745"/>
        <v/>
      </c>
      <c r="R461" s="118"/>
    </row>
    <row r="462" spans="1:18" s="2" customFormat="1" ht="16" thickBot="1" x14ac:dyDescent="0.4">
      <c r="A462" s="82" t="str">
        <f>IF(TRIM(G462)&lt;&gt;"",COUNTA(G$11:$G462)&amp;"","")</f>
        <v/>
      </c>
      <c r="B462" s="1"/>
      <c r="C462" s="1"/>
      <c r="D462" s="19"/>
      <c r="E462" s="18"/>
      <c r="F462" s="167"/>
      <c r="G462" s="178"/>
      <c r="H462" s="83" t="s">
        <v>12</v>
      </c>
      <c r="I462" s="84"/>
      <c r="J462" s="85">
        <f>SUM(K$429:K$461)</f>
        <v>18102.0340325</v>
      </c>
      <c r="K462" s="327" t="s">
        <v>13</v>
      </c>
      <c r="L462" s="328"/>
      <c r="M462" s="284">
        <f>SUM(O$429:O$461)</f>
        <v>9111.7792079599967</v>
      </c>
      <c r="N462" s="327" t="s">
        <v>42</v>
      </c>
      <c r="O462" s="328"/>
      <c r="P462" s="87">
        <f>SUM(N$429:N$461)</f>
        <v>175.22652323000003</v>
      </c>
      <c r="Q462" s="274" t="s">
        <v>205</v>
      </c>
      <c r="R462" s="86">
        <f>SUM(Q$429:Q$461)</f>
        <v>27213.813240459996</v>
      </c>
    </row>
    <row r="463" spans="1:18" ht="25" customHeight="1" thickBot="1" x14ac:dyDescent="0.4">
      <c r="A463" s="169" t="str">
        <f>IF(TRIM(G463)&lt;&gt;"",COUNTA(G$11:$G463)&amp;"","")</f>
        <v/>
      </c>
      <c r="B463" s="170"/>
      <c r="C463" s="171" t="s">
        <v>144</v>
      </c>
      <c r="D463" s="180" t="s">
        <v>46</v>
      </c>
      <c r="E463" s="180" t="s">
        <v>45</v>
      </c>
      <c r="F463" s="181"/>
      <c r="G463" s="172"/>
      <c r="H463" s="170"/>
      <c r="I463" s="172"/>
      <c r="J463" s="263"/>
      <c r="K463" s="263"/>
      <c r="L463" s="257">
        <v>54</v>
      </c>
      <c r="M463" s="280"/>
      <c r="N463" s="170"/>
      <c r="O463" s="263"/>
      <c r="P463" s="170"/>
      <c r="Q463" s="263"/>
      <c r="R463" s="173"/>
    </row>
    <row r="464" spans="1:18" s="17" customFormat="1" ht="19.25" customHeight="1" x14ac:dyDescent="0.35">
      <c r="A464" s="67" t="str">
        <f>IF(TRIM(G464)&lt;&gt;"",COUNTA(G$11:$G464)&amp;"","")</f>
        <v/>
      </c>
      <c r="B464" s="29"/>
      <c r="C464" s="29"/>
      <c r="D464" s="193" t="s">
        <v>92</v>
      </c>
      <c r="E464" s="191" t="s">
        <v>91</v>
      </c>
      <c r="F464" s="69"/>
      <c r="G464" s="70"/>
      <c r="H464" s="21" t="str">
        <f t="shared" ref="H464:H476" si="788">IF(F464=0,"",0)</f>
        <v/>
      </c>
      <c r="I464" s="47" t="str">
        <f t="shared" ref="I464:I476" si="789">IF(F464=0,"",F464+(F464*H464))</f>
        <v/>
      </c>
      <c r="J464" s="265"/>
      <c r="K464" s="268"/>
      <c r="L464" s="258"/>
      <c r="M464" s="282"/>
      <c r="N464" s="22"/>
      <c r="O464" s="268" t="str">
        <f t="shared" ref="O464:O476" si="790">IF(F464=0,"",N464*L464)</f>
        <v/>
      </c>
      <c r="P464" s="23" t="str">
        <f t="shared" ref="P464:P476" si="791">IF(F464=0,"",(K464+O464)/I464)</f>
        <v/>
      </c>
      <c r="Q464" s="268" t="str">
        <f t="shared" ref="Q464:Q476" si="792">IF(F464=0,"",(P464*I464))</f>
        <v/>
      </c>
      <c r="R464" s="120"/>
    </row>
    <row r="465" spans="1:18" ht="29" x14ac:dyDescent="0.35">
      <c r="A465" s="67" t="str">
        <f>IF(TRIM(G465)&lt;&gt;"",COUNTA(G$11:$G465)&amp;"","")</f>
        <v>291</v>
      </c>
      <c r="B465" s="310" t="s">
        <v>632</v>
      </c>
      <c r="C465" s="310" t="s">
        <v>633</v>
      </c>
      <c r="D465" s="30"/>
      <c r="E465" s="52" t="s">
        <v>406</v>
      </c>
      <c r="F465" s="69">
        <v>1</v>
      </c>
      <c r="G465" s="70" t="s">
        <v>211</v>
      </c>
      <c r="H465" s="21">
        <f t="shared" si="788"/>
        <v>0</v>
      </c>
      <c r="I465" s="47">
        <f t="shared" si="789"/>
        <v>1</v>
      </c>
      <c r="J465" s="265">
        <f>35*(2+4/12)*7</f>
        <v>571.66666666666674</v>
      </c>
      <c r="K465" s="268">
        <f t="shared" ref="K465:K476" si="793">IF(F465=0,"",J465*I465)</f>
        <v>571.66666666666674</v>
      </c>
      <c r="L465" s="258">
        <f t="shared" ref="L465:L482" si="794">IF(F465=0,"",L$463)</f>
        <v>54</v>
      </c>
      <c r="M465" s="282">
        <f>0.212*(2+4/12)*7</f>
        <v>3.4626666666666668</v>
      </c>
      <c r="N465" s="22">
        <f t="shared" ref="N465:N476" si="795">IF(F465=0,"",M465*I465)</f>
        <v>3.4626666666666668</v>
      </c>
      <c r="O465" s="268">
        <f t="shared" si="790"/>
        <v>186.98400000000001</v>
      </c>
      <c r="P465" s="23">
        <f t="shared" si="791"/>
        <v>758.65066666666678</v>
      </c>
      <c r="Q465" s="268">
        <f t="shared" si="792"/>
        <v>758.65066666666678</v>
      </c>
      <c r="R465" s="118"/>
    </row>
    <row r="466" spans="1:18" x14ac:dyDescent="0.35">
      <c r="A466" s="67" t="str">
        <f>IF(TRIM(G466)&lt;&gt;"",COUNTA(G$11:$G466)&amp;"","")</f>
        <v/>
      </c>
      <c r="B466" s="311"/>
      <c r="C466" s="311"/>
      <c r="D466" s="30"/>
      <c r="E466" s="52"/>
      <c r="F466" s="69"/>
      <c r="G466" s="70"/>
      <c r="H466" s="21" t="str">
        <f t="shared" si="788"/>
        <v/>
      </c>
      <c r="I466" s="47" t="str">
        <f t="shared" si="789"/>
        <v/>
      </c>
      <c r="J466" s="265"/>
      <c r="K466" s="268"/>
      <c r="L466" s="258"/>
      <c r="M466" s="282"/>
      <c r="N466" s="22"/>
      <c r="O466" s="268" t="str">
        <f t="shared" si="790"/>
        <v/>
      </c>
      <c r="P466" s="23" t="str">
        <f t="shared" si="791"/>
        <v/>
      </c>
      <c r="Q466" s="268" t="str">
        <f t="shared" si="792"/>
        <v/>
      </c>
      <c r="R466" s="118"/>
    </row>
    <row r="467" spans="1:18" s="17" customFormat="1" ht="19.25" customHeight="1" x14ac:dyDescent="0.35">
      <c r="A467" s="67" t="str">
        <f>IF(TRIM(G467)&lt;&gt;"",COUNTA(G$11:$G467)&amp;"","")</f>
        <v/>
      </c>
      <c r="B467" s="311"/>
      <c r="C467" s="311"/>
      <c r="D467" s="193" t="s">
        <v>93</v>
      </c>
      <c r="E467" s="191" t="s">
        <v>405</v>
      </c>
      <c r="F467" s="69"/>
      <c r="G467" s="70"/>
      <c r="H467" s="21" t="str">
        <f t="shared" si="788"/>
        <v/>
      </c>
      <c r="I467" s="47" t="str">
        <f t="shared" si="789"/>
        <v/>
      </c>
      <c r="J467" s="265"/>
      <c r="K467" s="268"/>
      <c r="L467" s="258"/>
      <c r="M467" s="282"/>
      <c r="N467" s="22"/>
      <c r="O467" s="268" t="str">
        <f t="shared" si="790"/>
        <v/>
      </c>
      <c r="P467" s="23" t="str">
        <f t="shared" si="791"/>
        <v/>
      </c>
      <c r="Q467" s="268" t="str">
        <f t="shared" si="792"/>
        <v/>
      </c>
      <c r="R467" s="120"/>
    </row>
    <row r="468" spans="1:18" ht="43.5" x14ac:dyDescent="0.35">
      <c r="A468" s="67" t="str">
        <f>IF(TRIM(G468)&lt;&gt;"",COUNTA(G$11:$G468)&amp;"","")</f>
        <v>292</v>
      </c>
      <c r="B468" s="311"/>
      <c r="C468" s="311"/>
      <c r="D468" s="30"/>
      <c r="E468" s="52" t="s">
        <v>585</v>
      </c>
      <c r="F468" s="69">
        <v>1</v>
      </c>
      <c r="G468" s="70" t="s">
        <v>211</v>
      </c>
      <c r="H468" s="21">
        <f t="shared" si="788"/>
        <v>0</v>
      </c>
      <c r="I468" s="47">
        <f t="shared" si="789"/>
        <v>1</v>
      </c>
      <c r="J468" s="265">
        <f>91.1*2.5*7</f>
        <v>1594.25</v>
      </c>
      <c r="K468" s="268">
        <f t="shared" si="793"/>
        <v>1594.25</v>
      </c>
      <c r="L468" s="258">
        <f t="shared" si="794"/>
        <v>54</v>
      </c>
      <c r="M468" s="282">
        <f>0.765*2.5*7</f>
        <v>13.387500000000001</v>
      </c>
      <c r="N468" s="22">
        <f t="shared" si="795"/>
        <v>13.387500000000001</v>
      </c>
      <c r="O468" s="268">
        <f t="shared" si="790"/>
        <v>722.92500000000007</v>
      </c>
      <c r="P468" s="23">
        <f t="shared" si="791"/>
        <v>2317.1750000000002</v>
      </c>
      <c r="Q468" s="268">
        <f t="shared" si="792"/>
        <v>2317.1750000000002</v>
      </c>
      <c r="R468" s="118"/>
    </row>
    <row r="469" spans="1:18" ht="43.5" x14ac:dyDescent="0.35">
      <c r="A469" s="67" t="str">
        <f>IF(TRIM(G469)&lt;&gt;"",COUNTA(G$11:$G469)&amp;"","")</f>
        <v>293</v>
      </c>
      <c r="B469" s="311"/>
      <c r="C469" s="311"/>
      <c r="D469" s="30"/>
      <c r="E469" s="52" t="s">
        <v>586</v>
      </c>
      <c r="F469" s="69">
        <v>1</v>
      </c>
      <c r="G469" s="70" t="s">
        <v>211</v>
      </c>
      <c r="H469" s="21">
        <f t="shared" si="788"/>
        <v>0</v>
      </c>
      <c r="I469" s="47">
        <f t="shared" si="789"/>
        <v>1</v>
      </c>
      <c r="J469" s="265">
        <f>91.1*2.5*7</f>
        <v>1594.25</v>
      </c>
      <c r="K469" s="268">
        <f t="shared" si="793"/>
        <v>1594.25</v>
      </c>
      <c r="L469" s="258">
        <f t="shared" si="794"/>
        <v>54</v>
      </c>
      <c r="M469" s="282">
        <f>0.765*2.5*7</f>
        <v>13.387500000000001</v>
      </c>
      <c r="N469" s="22">
        <f t="shared" si="795"/>
        <v>13.387500000000001</v>
      </c>
      <c r="O469" s="268">
        <f t="shared" si="790"/>
        <v>722.92500000000007</v>
      </c>
      <c r="P469" s="23">
        <f t="shared" si="791"/>
        <v>2317.1750000000002</v>
      </c>
      <c r="Q469" s="268">
        <f t="shared" si="792"/>
        <v>2317.1750000000002</v>
      </c>
      <c r="R469" s="118"/>
    </row>
    <row r="470" spans="1:18" x14ac:dyDescent="0.35">
      <c r="A470" s="67" t="str">
        <f>IF(TRIM(G470)&lt;&gt;"",COUNTA(G$11:$G470)&amp;"","")</f>
        <v/>
      </c>
      <c r="B470" s="311"/>
      <c r="C470" s="311"/>
      <c r="D470" s="30"/>
      <c r="E470" s="52"/>
      <c r="F470" s="69"/>
      <c r="G470" s="70"/>
      <c r="H470" s="21" t="str">
        <f t="shared" si="788"/>
        <v/>
      </c>
      <c r="I470" s="47" t="str">
        <f t="shared" si="789"/>
        <v/>
      </c>
      <c r="J470" s="265"/>
      <c r="K470" s="268"/>
      <c r="L470" s="258"/>
      <c r="M470" s="282"/>
      <c r="N470" s="22" t="str">
        <f t="shared" si="795"/>
        <v/>
      </c>
      <c r="O470" s="268" t="str">
        <f t="shared" si="790"/>
        <v/>
      </c>
      <c r="P470" s="23" t="str">
        <f t="shared" si="791"/>
        <v/>
      </c>
      <c r="Q470" s="268" t="str">
        <f t="shared" si="792"/>
        <v/>
      </c>
      <c r="R470" s="118"/>
    </row>
    <row r="471" spans="1:18" s="17" customFormat="1" ht="19.25" customHeight="1" x14ac:dyDescent="0.35">
      <c r="A471" s="67" t="str">
        <f>IF(TRIM(G471)&lt;&gt;"",COUNTA(G$11:$G471)&amp;"","")</f>
        <v/>
      </c>
      <c r="B471" s="311"/>
      <c r="C471" s="311"/>
      <c r="D471" s="193" t="s">
        <v>202</v>
      </c>
      <c r="E471" s="191" t="s">
        <v>407</v>
      </c>
      <c r="F471" s="69"/>
      <c r="G471" s="70"/>
      <c r="H471" s="21" t="str">
        <f t="shared" si="788"/>
        <v/>
      </c>
      <c r="I471" s="47" t="str">
        <f t="shared" si="789"/>
        <v/>
      </c>
      <c r="J471" s="265"/>
      <c r="K471" s="268"/>
      <c r="L471" s="258"/>
      <c r="M471" s="282"/>
      <c r="N471" s="22" t="str">
        <f t="shared" si="795"/>
        <v/>
      </c>
      <c r="O471" s="268" t="str">
        <f t="shared" si="790"/>
        <v/>
      </c>
      <c r="P471" s="23" t="str">
        <f t="shared" si="791"/>
        <v/>
      </c>
      <c r="Q471" s="268" t="str">
        <f t="shared" si="792"/>
        <v/>
      </c>
      <c r="R471" s="120"/>
    </row>
    <row r="472" spans="1:18" ht="29" x14ac:dyDescent="0.35">
      <c r="A472" s="67" t="str">
        <f>IF(TRIM(G472)&lt;&gt;"",COUNTA(G$11:$G472)&amp;"","")</f>
        <v>294</v>
      </c>
      <c r="B472" s="311"/>
      <c r="C472" s="311"/>
      <c r="D472" s="30"/>
      <c r="E472" s="52" t="s">
        <v>408</v>
      </c>
      <c r="F472" s="69">
        <v>1</v>
      </c>
      <c r="G472" s="70" t="s">
        <v>211</v>
      </c>
      <c r="H472" s="21">
        <f t="shared" si="788"/>
        <v>0</v>
      </c>
      <c r="I472" s="47">
        <f t="shared" si="789"/>
        <v>1</v>
      </c>
      <c r="J472" s="265">
        <f>55.8*4*8</f>
        <v>1785.6</v>
      </c>
      <c r="K472" s="268">
        <f t="shared" si="793"/>
        <v>1785.6</v>
      </c>
      <c r="L472" s="258">
        <f t="shared" si="794"/>
        <v>54</v>
      </c>
      <c r="M472" s="282">
        <f>0.212*4*8</f>
        <v>6.7839999999999998</v>
      </c>
      <c r="N472" s="22">
        <f t="shared" si="795"/>
        <v>6.7839999999999998</v>
      </c>
      <c r="O472" s="268">
        <f t="shared" si="790"/>
        <v>366.33600000000001</v>
      </c>
      <c r="P472" s="23">
        <f t="shared" si="791"/>
        <v>2151.9359999999997</v>
      </c>
      <c r="Q472" s="268">
        <f t="shared" si="792"/>
        <v>2151.9359999999997</v>
      </c>
      <c r="R472" s="118"/>
    </row>
    <row r="473" spans="1:18" x14ac:dyDescent="0.35">
      <c r="A473" s="67" t="str">
        <f>IF(TRIM(G473)&lt;&gt;"",COUNTA(G$11:$G473)&amp;"","")</f>
        <v/>
      </c>
      <c r="B473" s="311"/>
      <c r="C473" s="311"/>
      <c r="D473" s="30"/>
      <c r="E473" s="52"/>
      <c r="F473" s="69"/>
      <c r="G473" s="70"/>
      <c r="H473" s="21" t="str">
        <f t="shared" si="788"/>
        <v/>
      </c>
      <c r="I473" s="47" t="str">
        <f t="shared" si="789"/>
        <v/>
      </c>
      <c r="J473" s="265" t="str">
        <f t="shared" ref="J473:J474" si="796">IF(F473=0,"",0)</f>
        <v/>
      </c>
      <c r="K473" s="268" t="str">
        <f t="shared" si="793"/>
        <v/>
      </c>
      <c r="L473" s="258" t="str">
        <f t="shared" si="794"/>
        <v/>
      </c>
      <c r="M473" s="282"/>
      <c r="N473" s="22" t="str">
        <f t="shared" si="795"/>
        <v/>
      </c>
      <c r="O473" s="268" t="str">
        <f t="shared" si="790"/>
        <v/>
      </c>
      <c r="P473" s="23" t="str">
        <f t="shared" si="791"/>
        <v/>
      </c>
      <c r="Q473" s="268" t="str">
        <f t="shared" si="792"/>
        <v/>
      </c>
      <c r="R473" s="118"/>
    </row>
    <row r="474" spans="1:18" s="17" customFormat="1" ht="19.25" customHeight="1" x14ac:dyDescent="0.35">
      <c r="A474" s="67" t="str">
        <f>IF(TRIM(G474)&lt;&gt;"",COUNTA(G$11:$G474)&amp;"","")</f>
        <v/>
      </c>
      <c r="B474" s="311"/>
      <c r="C474" s="311"/>
      <c r="D474" s="193" t="s">
        <v>95</v>
      </c>
      <c r="E474" s="191" t="s">
        <v>94</v>
      </c>
      <c r="F474" s="69"/>
      <c r="G474" s="70"/>
      <c r="H474" s="21" t="str">
        <f t="shared" si="788"/>
        <v/>
      </c>
      <c r="I474" s="47" t="str">
        <f t="shared" si="789"/>
        <v/>
      </c>
      <c r="J474" s="265" t="str">
        <f t="shared" si="796"/>
        <v/>
      </c>
      <c r="K474" s="268" t="str">
        <f t="shared" si="793"/>
        <v/>
      </c>
      <c r="L474" s="258" t="str">
        <f t="shared" si="794"/>
        <v/>
      </c>
      <c r="M474" s="282"/>
      <c r="N474" s="22" t="str">
        <f t="shared" si="795"/>
        <v/>
      </c>
      <c r="O474" s="268" t="str">
        <f t="shared" si="790"/>
        <v/>
      </c>
      <c r="P474" s="23" t="str">
        <f t="shared" si="791"/>
        <v/>
      </c>
      <c r="Q474" s="268" t="str">
        <f t="shared" si="792"/>
        <v/>
      </c>
      <c r="R474" s="120"/>
    </row>
    <row r="475" spans="1:18" ht="43.5" x14ac:dyDescent="0.35">
      <c r="A475" s="67" t="str">
        <f>IF(TRIM(G475)&lt;&gt;"",COUNTA(G$11:$G475)&amp;"","")</f>
        <v>295</v>
      </c>
      <c r="B475" s="311"/>
      <c r="C475" s="311"/>
      <c r="D475" s="30"/>
      <c r="E475" s="52" t="s">
        <v>587</v>
      </c>
      <c r="F475" s="69">
        <v>1</v>
      </c>
      <c r="G475" s="70" t="s">
        <v>211</v>
      </c>
      <c r="H475" s="21">
        <f t="shared" si="788"/>
        <v>0</v>
      </c>
      <c r="I475" s="47">
        <f t="shared" si="789"/>
        <v>1</v>
      </c>
      <c r="J475" s="265">
        <f>91.1*10*8</f>
        <v>7288</v>
      </c>
      <c r="K475" s="268">
        <f t="shared" si="793"/>
        <v>7288</v>
      </c>
      <c r="L475" s="258">
        <f t="shared" si="794"/>
        <v>54</v>
      </c>
      <c r="M475" s="282">
        <f>0.765*10*8</f>
        <v>61.2</v>
      </c>
      <c r="N475" s="22">
        <f t="shared" si="795"/>
        <v>61.2</v>
      </c>
      <c r="O475" s="268">
        <f t="shared" si="790"/>
        <v>3304.8</v>
      </c>
      <c r="P475" s="23">
        <f t="shared" si="791"/>
        <v>10592.8</v>
      </c>
      <c r="Q475" s="268">
        <f t="shared" si="792"/>
        <v>10592.8</v>
      </c>
      <c r="R475" s="118"/>
    </row>
    <row r="476" spans="1:18" ht="43.5" x14ac:dyDescent="0.35">
      <c r="A476" s="67" t="str">
        <f>IF(TRIM(G476)&lt;&gt;"",COUNTA(G$11:$G476)&amp;"","")</f>
        <v>296</v>
      </c>
      <c r="B476" s="311"/>
      <c r="C476" s="311"/>
      <c r="D476" s="30"/>
      <c r="E476" s="52" t="s">
        <v>404</v>
      </c>
      <c r="F476" s="69">
        <v>1</v>
      </c>
      <c r="G476" s="70" t="s">
        <v>211</v>
      </c>
      <c r="H476" s="21">
        <f t="shared" si="788"/>
        <v>0</v>
      </c>
      <c r="I476" s="47">
        <f t="shared" si="789"/>
        <v>1</v>
      </c>
      <c r="J476" s="265">
        <f>91.1*14*8</f>
        <v>10203.199999999999</v>
      </c>
      <c r="K476" s="268">
        <f t="shared" si="793"/>
        <v>10203.199999999999</v>
      </c>
      <c r="L476" s="258">
        <f t="shared" si="794"/>
        <v>54</v>
      </c>
      <c r="M476" s="282">
        <f>0.765*14*8</f>
        <v>85.68</v>
      </c>
      <c r="N476" s="22">
        <f t="shared" si="795"/>
        <v>85.68</v>
      </c>
      <c r="O476" s="268">
        <f t="shared" si="790"/>
        <v>4626.72</v>
      </c>
      <c r="P476" s="23">
        <f t="shared" si="791"/>
        <v>14829.919999999998</v>
      </c>
      <c r="Q476" s="268">
        <f t="shared" si="792"/>
        <v>14829.919999999998</v>
      </c>
      <c r="R476" s="118"/>
    </row>
    <row r="477" spans="1:18" x14ac:dyDescent="0.35">
      <c r="A477" s="67" t="str">
        <f>IF(TRIM(G477)&lt;&gt;"",COUNTA(G$11:$G477)&amp;"","")</f>
        <v/>
      </c>
      <c r="B477" s="311"/>
      <c r="C477" s="311"/>
      <c r="D477" s="30"/>
      <c r="E477" s="52"/>
      <c r="F477" s="69"/>
      <c r="G477" s="70"/>
      <c r="H477" s="21" t="str">
        <f t="shared" ref="H477:H489" si="797">IF(F477=0,"",0)</f>
        <v/>
      </c>
      <c r="I477" s="47" t="str">
        <f t="shared" ref="I477:I489" si="798">IF(F477=0,"",F477+(F477*H477))</f>
        <v/>
      </c>
      <c r="J477" s="265" t="str">
        <f t="shared" ref="J477:J489" si="799">IF(F477=0,"",0)</f>
        <v/>
      </c>
      <c r="K477" s="268" t="str">
        <f t="shared" ref="K477:K489" si="800">IF(F477=0,"",J477*I477)</f>
        <v/>
      </c>
      <c r="L477" s="258" t="str">
        <f t="shared" si="794"/>
        <v/>
      </c>
      <c r="M477" s="282"/>
      <c r="N477" s="22" t="str">
        <f t="shared" ref="N477:N489" si="801">IF(F477=0,"",M477*I477)</f>
        <v/>
      </c>
      <c r="O477" s="268" t="str">
        <f t="shared" ref="O477:O489" si="802">IF(F477=0,"",N477*L477)</f>
        <v/>
      </c>
      <c r="P477" s="23" t="str">
        <f t="shared" ref="P477:P489" si="803">IF(F477=0,"",(K477+O477)/I477)</f>
        <v/>
      </c>
      <c r="Q477" s="268" t="str">
        <f t="shared" ref="Q477:Q489" si="804">IF(F477=0,"",(P477*I477))</f>
        <v/>
      </c>
      <c r="R477" s="118"/>
    </row>
    <row r="478" spans="1:18" s="17" customFormat="1" ht="19.25" customHeight="1" x14ac:dyDescent="0.35">
      <c r="A478" s="67" t="str">
        <f>IF(TRIM(G478)&lt;&gt;"",COUNTA(G$11:$G478)&amp;"","")</f>
        <v/>
      </c>
      <c r="B478" s="311"/>
      <c r="C478" s="311"/>
      <c r="D478" s="193" t="s">
        <v>97</v>
      </c>
      <c r="E478" s="191" t="s">
        <v>96</v>
      </c>
      <c r="F478" s="69"/>
      <c r="G478" s="70"/>
      <c r="H478" s="21" t="str">
        <f t="shared" si="797"/>
        <v/>
      </c>
      <c r="I478" s="47" t="str">
        <f t="shared" si="798"/>
        <v/>
      </c>
      <c r="J478" s="265" t="str">
        <f t="shared" si="799"/>
        <v/>
      </c>
      <c r="K478" s="268" t="str">
        <f t="shared" si="800"/>
        <v/>
      </c>
      <c r="L478" s="258" t="str">
        <f t="shared" si="794"/>
        <v/>
      </c>
      <c r="M478" s="282"/>
      <c r="N478" s="22" t="str">
        <f t="shared" si="801"/>
        <v/>
      </c>
      <c r="O478" s="268" t="str">
        <f t="shared" si="802"/>
        <v/>
      </c>
      <c r="P478" s="23" t="str">
        <f t="shared" si="803"/>
        <v/>
      </c>
      <c r="Q478" s="268" t="str">
        <f t="shared" si="804"/>
        <v/>
      </c>
      <c r="R478" s="120"/>
    </row>
    <row r="479" spans="1:18" x14ac:dyDescent="0.35">
      <c r="A479" s="67" t="str">
        <f>IF(TRIM(G479)&lt;&gt;"",COUNTA(G$11:$G479)&amp;"","")</f>
        <v>297</v>
      </c>
      <c r="B479" s="311"/>
      <c r="C479" s="311"/>
      <c r="D479" s="30"/>
      <c r="E479" s="52" t="s">
        <v>212</v>
      </c>
      <c r="F479" s="69">
        <v>4</v>
      </c>
      <c r="G479" s="70" t="s">
        <v>211</v>
      </c>
      <c r="H479" s="21">
        <f t="shared" si="797"/>
        <v>0</v>
      </c>
      <c r="I479" s="47">
        <f t="shared" si="798"/>
        <v>4</v>
      </c>
      <c r="J479" s="265">
        <v>350</v>
      </c>
      <c r="K479" s="268">
        <f t="shared" si="800"/>
        <v>1400</v>
      </c>
      <c r="L479" s="258">
        <f t="shared" si="794"/>
        <v>54</v>
      </c>
      <c r="M479" s="282">
        <v>2.56</v>
      </c>
      <c r="N479" s="22">
        <f t="shared" si="801"/>
        <v>10.24</v>
      </c>
      <c r="O479" s="268">
        <f t="shared" si="802"/>
        <v>552.96</v>
      </c>
      <c r="P479" s="23">
        <f t="shared" si="803"/>
        <v>488.24</v>
      </c>
      <c r="Q479" s="268">
        <f t="shared" si="804"/>
        <v>1952.96</v>
      </c>
      <c r="R479" s="118"/>
    </row>
    <row r="480" spans="1:18" x14ac:dyDescent="0.35">
      <c r="A480" s="67" t="str">
        <f>IF(TRIM(G480)&lt;&gt;"",COUNTA(G$11:$G480)&amp;"","")</f>
        <v/>
      </c>
      <c r="B480" s="311"/>
      <c r="C480" s="311"/>
      <c r="D480" s="30"/>
      <c r="E480" s="52"/>
      <c r="F480" s="69"/>
      <c r="G480" s="70"/>
      <c r="H480" s="21" t="str">
        <f t="shared" si="797"/>
        <v/>
      </c>
      <c r="I480" s="47" t="str">
        <f t="shared" si="798"/>
        <v/>
      </c>
      <c r="J480" s="265" t="str">
        <f t="shared" si="799"/>
        <v/>
      </c>
      <c r="K480" s="268" t="str">
        <f t="shared" si="800"/>
        <v/>
      </c>
      <c r="L480" s="258" t="str">
        <f t="shared" si="794"/>
        <v/>
      </c>
      <c r="M480" s="282"/>
      <c r="N480" s="22" t="str">
        <f t="shared" si="801"/>
        <v/>
      </c>
      <c r="O480" s="268" t="str">
        <f t="shared" si="802"/>
        <v/>
      </c>
      <c r="P480" s="23" t="str">
        <f t="shared" si="803"/>
        <v/>
      </c>
      <c r="Q480" s="268" t="str">
        <f t="shared" si="804"/>
        <v/>
      </c>
      <c r="R480" s="118"/>
    </row>
    <row r="481" spans="1:18" s="17" customFormat="1" ht="19.25" customHeight="1" x14ac:dyDescent="0.35">
      <c r="A481" s="67" t="str">
        <f>IF(TRIM(G481)&lt;&gt;"",COUNTA(G$11:$G481)&amp;"","")</f>
        <v/>
      </c>
      <c r="B481" s="311"/>
      <c r="C481" s="311"/>
      <c r="D481" s="193" t="s">
        <v>99</v>
      </c>
      <c r="E481" s="191" t="s">
        <v>98</v>
      </c>
      <c r="F481" s="69"/>
      <c r="G481" s="70"/>
      <c r="H481" s="21" t="str">
        <f t="shared" si="797"/>
        <v/>
      </c>
      <c r="I481" s="47" t="str">
        <f t="shared" si="798"/>
        <v/>
      </c>
      <c r="J481" s="265" t="str">
        <f t="shared" si="799"/>
        <v/>
      </c>
      <c r="K481" s="268" t="str">
        <f t="shared" si="800"/>
        <v/>
      </c>
      <c r="L481" s="258" t="str">
        <f t="shared" si="794"/>
        <v/>
      </c>
      <c r="M481" s="282"/>
      <c r="N481" s="22" t="str">
        <f t="shared" si="801"/>
        <v/>
      </c>
      <c r="O481" s="268" t="str">
        <f t="shared" si="802"/>
        <v/>
      </c>
      <c r="P481" s="23" t="str">
        <f t="shared" si="803"/>
        <v/>
      </c>
      <c r="Q481" s="268" t="str">
        <f t="shared" si="804"/>
        <v/>
      </c>
      <c r="R481" s="120"/>
    </row>
    <row r="482" spans="1:18" x14ac:dyDescent="0.35">
      <c r="A482" s="67" t="str">
        <f>IF(TRIM(G482)&lt;&gt;"",COUNTA(G$11:$G482)&amp;"","")</f>
        <v>298</v>
      </c>
      <c r="B482" s="311"/>
      <c r="C482" s="311"/>
      <c r="D482" s="30" t="s">
        <v>260</v>
      </c>
      <c r="E482" s="52" t="s">
        <v>409</v>
      </c>
      <c r="F482" s="69">
        <f>10.51*7</f>
        <v>73.569999999999993</v>
      </c>
      <c r="G482" s="70" t="s">
        <v>163</v>
      </c>
      <c r="H482" s="21">
        <v>0.1</v>
      </c>
      <c r="I482" s="47">
        <f t="shared" si="798"/>
        <v>80.926999999999992</v>
      </c>
      <c r="J482" s="265">
        <v>46</v>
      </c>
      <c r="K482" s="268">
        <f t="shared" si="800"/>
        <v>3722.6419999999998</v>
      </c>
      <c r="L482" s="258">
        <f t="shared" si="794"/>
        <v>54</v>
      </c>
      <c r="M482" s="282">
        <v>0.35</v>
      </c>
      <c r="N482" s="22">
        <f t="shared" si="801"/>
        <v>28.324449999999995</v>
      </c>
      <c r="O482" s="268">
        <f t="shared" si="802"/>
        <v>1529.5202999999997</v>
      </c>
      <c r="P482" s="23">
        <f t="shared" si="803"/>
        <v>64.900000000000006</v>
      </c>
      <c r="Q482" s="268">
        <f t="shared" si="804"/>
        <v>5252.1623</v>
      </c>
      <c r="R482" s="118"/>
    </row>
    <row r="483" spans="1:18" x14ac:dyDescent="0.35">
      <c r="A483" s="67" t="str">
        <f>IF(TRIM(G483)&lt;&gt;"",COUNTA(G$11:$G483)&amp;"","")</f>
        <v/>
      </c>
      <c r="B483" s="311"/>
      <c r="C483" s="311"/>
      <c r="D483" s="30"/>
      <c r="E483" s="242"/>
      <c r="F483" s="69"/>
      <c r="G483" s="70"/>
      <c r="H483" s="21"/>
      <c r="I483" s="47"/>
      <c r="J483" s="265"/>
      <c r="K483" s="268"/>
      <c r="L483" s="258"/>
      <c r="M483" s="282"/>
      <c r="N483" s="22"/>
      <c r="O483" s="268"/>
      <c r="P483" s="23"/>
      <c r="Q483" s="268"/>
      <c r="R483" s="118"/>
    </row>
    <row r="484" spans="1:18" x14ac:dyDescent="0.35">
      <c r="A484" s="67" t="str">
        <f>IF(TRIM(G484)&lt;&gt;"",COUNTA(G$11:$G484)&amp;"","")</f>
        <v/>
      </c>
      <c r="B484" s="311"/>
      <c r="C484" s="311"/>
      <c r="D484" s="193" t="s">
        <v>415</v>
      </c>
      <c r="E484" s="191" t="s">
        <v>410</v>
      </c>
      <c r="F484" s="69"/>
      <c r="G484" s="70"/>
      <c r="H484" s="21"/>
      <c r="I484" s="47"/>
      <c r="J484" s="265"/>
      <c r="K484" s="268"/>
      <c r="L484" s="258"/>
      <c r="M484" s="282"/>
      <c r="N484" s="22"/>
      <c r="O484" s="268"/>
      <c r="P484" s="23"/>
      <c r="Q484" s="268"/>
      <c r="R484" s="118"/>
    </row>
    <row r="485" spans="1:18" x14ac:dyDescent="0.35">
      <c r="A485" s="67" t="str">
        <f>IF(TRIM(G485)&lt;&gt;"",COUNTA(G$11:$G485)&amp;"","")</f>
        <v>299</v>
      </c>
      <c r="B485" s="311"/>
      <c r="C485" s="311"/>
      <c r="D485" s="30"/>
      <c r="E485" s="242" t="s">
        <v>411</v>
      </c>
      <c r="F485" s="69">
        <v>1</v>
      </c>
      <c r="G485" s="70" t="s">
        <v>211</v>
      </c>
      <c r="H485" s="21">
        <v>0</v>
      </c>
      <c r="I485" s="47">
        <f t="shared" ref="I485" si="805">IF(F485=0,"",F485+(F485*H485))</f>
        <v>1</v>
      </c>
      <c r="J485" s="265">
        <f>46*2*3</f>
        <v>276</v>
      </c>
      <c r="K485" s="268">
        <f t="shared" ref="K485" si="806">IF(F485=0,"",J485*I485)</f>
        <v>276</v>
      </c>
      <c r="L485" s="258">
        <f t="shared" ref="L485" si="807">IF(F485=0,"",L$463)</f>
        <v>54</v>
      </c>
      <c r="M485" s="282">
        <f>0.35*2*3</f>
        <v>2.0999999999999996</v>
      </c>
      <c r="N485" s="22">
        <f t="shared" ref="N485" si="808">IF(F485=0,"",M485*I485)</f>
        <v>2.0999999999999996</v>
      </c>
      <c r="O485" s="268">
        <f t="shared" ref="O485" si="809">IF(F485=0,"",N485*L485)</f>
        <v>113.39999999999998</v>
      </c>
      <c r="P485" s="23">
        <f t="shared" ref="P485" si="810">IF(F485=0,"",(K485+O485)/I485)</f>
        <v>389.4</v>
      </c>
      <c r="Q485" s="268">
        <f t="shared" ref="Q485" si="811">IF(F485=0,"",(P485*I485))</f>
        <v>389.4</v>
      </c>
      <c r="R485" s="118"/>
    </row>
    <row r="486" spans="1:18" x14ac:dyDescent="0.35">
      <c r="A486" s="67" t="str">
        <f>IF(TRIM(G486)&lt;&gt;"",COUNTA(G$11:$G486)&amp;"","")</f>
        <v>300</v>
      </c>
      <c r="B486" s="311"/>
      <c r="C486" s="311"/>
      <c r="D486" s="30"/>
      <c r="E486" s="242" t="s">
        <v>412</v>
      </c>
      <c r="F486" s="69">
        <v>1</v>
      </c>
      <c r="G486" s="70" t="s">
        <v>211</v>
      </c>
      <c r="H486" s="21">
        <v>0</v>
      </c>
      <c r="I486" s="47">
        <f t="shared" ref="I486:I488" si="812">IF(F486=0,"",F486+(F486*H486))</f>
        <v>1</v>
      </c>
      <c r="J486" s="265">
        <f>46*2*4</f>
        <v>368</v>
      </c>
      <c r="K486" s="268">
        <f t="shared" ref="K486:K488" si="813">IF(F486=0,"",J486*I486)</f>
        <v>368</v>
      </c>
      <c r="L486" s="258">
        <f t="shared" ref="L486:L488" si="814">IF(F486=0,"",L$463)</f>
        <v>54</v>
      </c>
      <c r="M486" s="282">
        <f>0.35*2*4</f>
        <v>2.8</v>
      </c>
      <c r="N486" s="22">
        <f t="shared" ref="N486:N488" si="815">IF(F486=0,"",M486*I486)</f>
        <v>2.8</v>
      </c>
      <c r="O486" s="268">
        <f t="shared" ref="O486:O488" si="816">IF(F486=0,"",N486*L486)</f>
        <v>151.19999999999999</v>
      </c>
      <c r="P486" s="23">
        <f t="shared" ref="P486:P488" si="817">IF(F486=0,"",(K486+O486)/I486)</f>
        <v>519.20000000000005</v>
      </c>
      <c r="Q486" s="268">
        <f t="shared" ref="Q486:Q488" si="818">IF(F486=0,"",(P486*I486))</f>
        <v>519.20000000000005</v>
      </c>
      <c r="R486" s="118"/>
    </row>
    <row r="487" spans="1:18" x14ac:dyDescent="0.35">
      <c r="A487" s="67" t="str">
        <f>IF(TRIM(G487)&lt;&gt;"",COUNTA(G$11:$G487)&amp;"","")</f>
        <v>301</v>
      </c>
      <c r="B487" s="311"/>
      <c r="C487" s="311"/>
      <c r="D487" s="30"/>
      <c r="E487" s="242" t="s">
        <v>413</v>
      </c>
      <c r="F487" s="69">
        <v>1</v>
      </c>
      <c r="G487" s="70" t="s">
        <v>211</v>
      </c>
      <c r="H487" s="21">
        <v>0</v>
      </c>
      <c r="I487" s="47">
        <f t="shared" si="812"/>
        <v>1</v>
      </c>
      <c r="J487" s="265">
        <f>46*(3+4/12)*9</f>
        <v>1380</v>
      </c>
      <c r="K487" s="268">
        <f t="shared" si="813"/>
        <v>1380</v>
      </c>
      <c r="L487" s="258">
        <f t="shared" si="814"/>
        <v>54</v>
      </c>
      <c r="M487" s="282">
        <f>0.35*(3+4/12)*9</f>
        <v>10.5</v>
      </c>
      <c r="N487" s="22">
        <f t="shared" si="815"/>
        <v>10.5</v>
      </c>
      <c r="O487" s="268">
        <f t="shared" si="816"/>
        <v>567</v>
      </c>
      <c r="P487" s="23">
        <f t="shared" si="817"/>
        <v>1947</v>
      </c>
      <c r="Q487" s="268">
        <f t="shared" si="818"/>
        <v>1947</v>
      </c>
      <c r="R487" s="118"/>
    </row>
    <row r="488" spans="1:18" x14ac:dyDescent="0.35">
      <c r="A488" s="67" t="str">
        <f>IF(TRIM(G488)&lt;&gt;"",COUNTA(G$11:$G488)&amp;"","")</f>
        <v>302</v>
      </c>
      <c r="B488" s="312"/>
      <c r="C488" s="312"/>
      <c r="D488" s="30"/>
      <c r="E488" s="242" t="s">
        <v>414</v>
      </c>
      <c r="F488" s="69">
        <v>2</v>
      </c>
      <c r="G488" s="70" t="s">
        <v>211</v>
      </c>
      <c r="H488" s="21">
        <v>0</v>
      </c>
      <c r="I488" s="47">
        <f t="shared" si="812"/>
        <v>2</v>
      </c>
      <c r="J488" s="265">
        <f>46*(9+10/12)*9</f>
        <v>4071.0000000000005</v>
      </c>
      <c r="K488" s="268">
        <f t="shared" si="813"/>
        <v>8142.0000000000009</v>
      </c>
      <c r="L488" s="258">
        <f t="shared" si="814"/>
        <v>54</v>
      </c>
      <c r="M488" s="282">
        <f>0.35*(9+10/12)*9</f>
        <v>30.975000000000001</v>
      </c>
      <c r="N488" s="22">
        <f t="shared" si="815"/>
        <v>61.95</v>
      </c>
      <c r="O488" s="268">
        <f t="shared" si="816"/>
        <v>3345.3</v>
      </c>
      <c r="P488" s="23">
        <f t="shared" si="817"/>
        <v>5743.6500000000005</v>
      </c>
      <c r="Q488" s="268">
        <f t="shared" si="818"/>
        <v>11487.300000000001</v>
      </c>
      <c r="R488" s="118"/>
    </row>
    <row r="489" spans="1:18" ht="15" thickBot="1" x14ac:dyDescent="0.4">
      <c r="A489" s="67" t="str">
        <f>IF(TRIM(G489)&lt;&gt;"",COUNTA(G$11:$G489)&amp;"","")</f>
        <v/>
      </c>
      <c r="B489" s="71"/>
      <c r="C489" s="71"/>
      <c r="D489" s="30"/>
      <c r="E489" s="72"/>
      <c r="F489" s="69"/>
      <c r="G489" s="70"/>
      <c r="H489" s="21" t="str">
        <f t="shared" si="797"/>
        <v/>
      </c>
      <c r="I489" s="47" t="str">
        <f t="shared" si="798"/>
        <v/>
      </c>
      <c r="J489" s="265" t="str">
        <f t="shared" si="799"/>
        <v/>
      </c>
      <c r="K489" s="268" t="str">
        <f t="shared" si="800"/>
        <v/>
      </c>
      <c r="L489" s="258" t="str">
        <f>IF(F489=0,"",L$463)</f>
        <v/>
      </c>
      <c r="M489" s="282" t="str">
        <f t="shared" ref="M489" si="819">IF(F489=0,"",0)</f>
        <v/>
      </c>
      <c r="N489" s="22" t="str">
        <f t="shared" si="801"/>
        <v/>
      </c>
      <c r="O489" s="268" t="str">
        <f t="shared" si="802"/>
        <v/>
      </c>
      <c r="P489" s="23" t="str">
        <f t="shared" si="803"/>
        <v/>
      </c>
      <c r="Q489" s="268" t="str">
        <f t="shared" si="804"/>
        <v/>
      </c>
      <c r="R489" s="118"/>
    </row>
    <row r="490" spans="1:18" s="2" customFormat="1" ht="16" thickBot="1" x14ac:dyDescent="0.4">
      <c r="A490" s="82" t="str">
        <f>IF(TRIM(G490)&lt;&gt;"",COUNTA(G$11:$G490)&amp;"","")</f>
        <v/>
      </c>
      <c r="B490" s="1"/>
      <c r="C490" s="1"/>
      <c r="D490" s="19"/>
      <c r="E490" s="18"/>
      <c r="F490" s="167"/>
      <c r="G490" s="178"/>
      <c r="H490" s="83" t="s">
        <v>12</v>
      </c>
      <c r="I490" s="84"/>
      <c r="J490" s="85">
        <f>SUM(K$464:K$489)</f>
        <v>38325.608666666667</v>
      </c>
      <c r="K490" s="327" t="s">
        <v>13</v>
      </c>
      <c r="L490" s="328"/>
      <c r="M490" s="284">
        <f>SUM(O$464:O$489)</f>
        <v>16190.070300000003</v>
      </c>
      <c r="N490" s="327" t="s">
        <v>42</v>
      </c>
      <c r="O490" s="328"/>
      <c r="P490" s="87">
        <f>SUM(N$464:N$489)</f>
        <v>299.81611666666669</v>
      </c>
      <c r="Q490" s="274" t="s">
        <v>205</v>
      </c>
      <c r="R490" s="86">
        <f>SUM(Q$464:Q$489)</f>
        <v>54515.678966666666</v>
      </c>
    </row>
    <row r="491" spans="1:18" ht="25" customHeight="1" thickBot="1" x14ac:dyDescent="0.4">
      <c r="A491" s="169" t="str">
        <f>IF(TRIM(G491)&lt;&gt;"",COUNTA(G$11:$G491)&amp;"","")</f>
        <v/>
      </c>
      <c r="B491" s="170"/>
      <c r="C491" s="171" t="s">
        <v>144</v>
      </c>
      <c r="D491" s="180" t="s">
        <v>44</v>
      </c>
      <c r="E491" s="180" t="s">
        <v>47</v>
      </c>
      <c r="F491" s="181"/>
      <c r="G491" s="172"/>
      <c r="H491" s="170"/>
      <c r="I491" s="172"/>
      <c r="J491" s="263"/>
      <c r="K491" s="263"/>
      <c r="L491" s="257">
        <v>52</v>
      </c>
      <c r="M491" s="280"/>
      <c r="N491" s="170"/>
      <c r="O491" s="263"/>
      <c r="P491" s="170"/>
      <c r="Q491" s="263"/>
      <c r="R491" s="173"/>
    </row>
    <row r="492" spans="1:18" s="17" customFormat="1" ht="19.25" customHeight="1" x14ac:dyDescent="0.35">
      <c r="A492" s="107" t="str">
        <f>IF(TRIM(G492)&lt;&gt;"",COUNTA(G$11:$G492)&amp;"","")</f>
        <v/>
      </c>
      <c r="B492" s="168"/>
      <c r="C492" s="168"/>
      <c r="D492" s="188" t="s">
        <v>101</v>
      </c>
      <c r="E492" s="192" t="s">
        <v>100</v>
      </c>
      <c r="F492" s="241">
        <v>9</v>
      </c>
      <c r="G492" s="112"/>
      <c r="H492" s="113"/>
      <c r="I492" s="114"/>
      <c r="J492" s="264"/>
      <c r="K492" s="258"/>
      <c r="L492" s="258"/>
      <c r="M492" s="281"/>
      <c r="N492" s="115"/>
      <c r="O492" s="258"/>
      <c r="P492" s="116"/>
      <c r="Q492" s="258"/>
      <c r="R492" s="179"/>
    </row>
    <row r="493" spans="1:18" x14ac:dyDescent="0.35">
      <c r="A493" s="67" t="str">
        <f>IF(TRIM(G493)&lt;&gt;"",COUNTA(G$11:$G493)&amp;"","")</f>
        <v/>
      </c>
      <c r="B493" s="68"/>
      <c r="C493" s="68"/>
      <c r="D493" s="30"/>
      <c r="E493" s="243" t="s">
        <v>305</v>
      </c>
      <c r="F493" s="69"/>
      <c r="G493" s="70"/>
      <c r="H493" s="21" t="str">
        <f t="shared" ref="H493:H656" si="820">IF(F493=0,"",0)</f>
        <v/>
      </c>
      <c r="I493" s="47" t="str">
        <f t="shared" ref="I493:I658" si="821">IF(F493=0,"",F493+(F493*H493))</f>
        <v/>
      </c>
      <c r="J493" s="265" t="str">
        <f t="shared" ref="J493:J656" si="822">IF(F493=0,"",0)</f>
        <v/>
      </c>
      <c r="K493" s="268" t="str">
        <f t="shared" ref="K493:K658" si="823">IF(F493=0,"",J493*I493)</f>
        <v/>
      </c>
      <c r="L493" s="258" t="str">
        <f t="shared" ref="L493:L658" si="824">IF(F493=0,"",L$491)</f>
        <v/>
      </c>
      <c r="M493" s="282" t="str">
        <f t="shared" ref="M493:M656" si="825">IF(F493=0,"",0)</f>
        <v/>
      </c>
      <c r="N493" s="22" t="str">
        <f t="shared" ref="N493:N658" si="826">IF(F493=0,"",M493*I493)</f>
        <v/>
      </c>
      <c r="O493" s="268" t="str">
        <f t="shared" ref="O493:O658" si="827">IF(F493=0,"",N493*L493)</f>
        <v/>
      </c>
      <c r="P493" s="23" t="str">
        <f t="shared" ref="P493:P658" si="828">IF(F493=0,"",(K493+O493)/I493)</f>
        <v/>
      </c>
      <c r="Q493" s="268" t="str">
        <f t="shared" ref="Q493:Q658" si="829">IF(F493=0,"",(P493*I493))</f>
        <v/>
      </c>
      <c r="R493" s="118"/>
    </row>
    <row r="494" spans="1:18" x14ac:dyDescent="0.35">
      <c r="A494" s="67" t="str">
        <f>IF(TRIM(G494)&lt;&gt;"",COUNTA(G$11:$G494)&amp;"","")</f>
        <v>303</v>
      </c>
      <c r="B494" s="310" t="s">
        <v>632</v>
      </c>
      <c r="C494" s="310" t="s">
        <v>632</v>
      </c>
      <c r="D494" s="30"/>
      <c r="E494" s="238" t="s">
        <v>306</v>
      </c>
      <c r="F494" s="239">
        <f>17.1+25.83</f>
        <v>42.93</v>
      </c>
      <c r="G494" s="245" t="s">
        <v>177</v>
      </c>
      <c r="H494" s="21"/>
      <c r="I494" s="47"/>
      <c r="J494" s="265"/>
      <c r="K494" s="268"/>
      <c r="L494" s="258"/>
      <c r="M494" s="282"/>
      <c r="N494" s="22"/>
      <c r="O494" s="268"/>
      <c r="P494" s="23"/>
      <c r="Q494" s="268"/>
      <c r="R494" s="118"/>
    </row>
    <row r="495" spans="1:18" x14ac:dyDescent="0.35">
      <c r="A495" s="67" t="str">
        <f>IF(TRIM(G495)&lt;&gt;"",COUNTA(G$11:$G495)&amp;"","")</f>
        <v>304</v>
      </c>
      <c r="B495" s="311"/>
      <c r="C495" s="311"/>
      <c r="D495" s="30"/>
      <c r="E495" s="65" t="s">
        <v>612</v>
      </c>
      <c r="F495" s="69">
        <v>33</v>
      </c>
      <c r="G495" s="70" t="s">
        <v>211</v>
      </c>
      <c r="H495" s="21">
        <v>0</v>
      </c>
      <c r="I495" s="47">
        <f t="shared" ref="I495:I497" si="830">IF(F495=0,"",F495+(F495*H495))</f>
        <v>33</v>
      </c>
      <c r="J495" s="265">
        <f>10*0.48</f>
        <v>4.8</v>
      </c>
      <c r="K495" s="268">
        <f t="shared" ref="K495" si="831">IF(F495=0,"",J495*I495)</f>
        <v>158.4</v>
      </c>
      <c r="L495" s="258">
        <f t="shared" ref="L495:L497" si="832">IF(F495=0,"",L$491)</f>
        <v>52</v>
      </c>
      <c r="M495" s="282">
        <f>10*0.0475</f>
        <v>0.47499999999999998</v>
      </c>
      <c r="N495" s="22">
        <f t="shared" ref="N495" si="833">IF(F495=0,"",M495*I495)</f>
        <v>15.674999999999999</v>
      </c>
      <c r="O495" s="268">
        <f t="shared" ref="O495" si="834">IF(F495=0,"",N495*L495)</f>
        <v>815.09999999999991</v>
      </c>
      <c r="P495" s="23">
        <f t="shared" ref="P495" si="835">IF(F495=0,"",(K495+O495)/I495)</f>
        <v>29.499999999999996</v>
      </c>
      <c r="Q495" s="268">
        <f t="shared" ref="Q495" si="836">IF(F495=0,"",(P495*I495))</f>
        <v>973.49999999999989</v>
      </c>
      <c r="R495" s="118"/>
    </row>
    <row r="496" spans="1:18" x14ac:dyDescent="0.35">
      <c r="A496" s="67" t="str">
        <f>IF(TRIM(G496)&lt;&gt;"",COUNTA(G$11:$G496)&amp;"","")</f>
        <v>305</v>
      </c>
      <c r="B496" s="311"/>
      <c r="C496" s="311"/>
      <c r="D496" s="30"/>
      <c r="E496" s="65" t="s">
        <v>613</v>
      </c>
      <c r="F496" s="69">
        <f>F494*2</f>
        <v>85.86</v>
      </c>
      <c r="G496" s="70" t="s">
        <v>177</v>
      </c>
      <c r="H496" s="21">
        <v>0.1</v>
      </c>
      <c r="I496" s="47">
        <f t="shared" si="830"/>
        <v>94.445999999999998</v>
      </c>
      <c r="J496" s="265">
        <v>0.48</v>
      </c>
      <c r="K496" s="268">
        <f t="shared" ref="K496:K497" si="837">IF(F496=0,"",J496*I496)</f>
        <v>45.33408</v>
      </c>
      <c r="L496" s="258">
        <f t="shared" si="832"/>
        <v>52</v>
      </c>
      <c r="M496" s="282">
        <v>4.7500000000000001E-2</v>
      </c>
      <c r="N496" s="22">
        <f t="shared" ref="N496:N497" si="838">IF(F496=0,"",M496*I496)</f>
        <v>4.4861849999999999</v>
      </c>
      <c r="O496" s="268">
        <f t="shared" ref="O496:O497" si="839">IF(F496=0,"",N496*L496)</f>
        <v>233.28162</v>
      </c>
      <c r="P496" s="23">
        <f t="shared" ref="P496:P497" si="840">IF(F496=0,"",(K496+O496)/I496)</f>
        <v>2.95</v>
      </c>
      <c r="Q496" s="268">
        <f t="shared" ref="Q496:Q497" si="841">IF(F496=0,"",(P496*I496))</f>
        <v>278.6157</v>
      </c>
      <c r="R496" s="118"/>
    </row>
    <row r="497" spans="1:18" x14ac:dyDescent="0.35">
      <c r="A497" s="67" t="str">
        <f>IF(TRIM(G497)&lt;&gt;"",COUNTA(G$11:$G497)&amp;"","")</f>
        <v>306</v>
      </c>
      <c r="B497" s="311"/>
      <c r="C497" s="311"/>
      <c r="D497" s="30"/>
      <c r="E497" s="65" t="s">
        <v>614</v>
      </c>
      <c r="F497" s="69">
        <f>F494</f>
        <v>42.93</v>
      </c>
      <c r="G497" s="70" t="s">
        <v>177</v>
      </c>
      <c r="H497" s="21">
        <v>0.1</v>
      </c>
      <c r="I497" s="47">
        <f t="shared" si="830"/>
        <v>47.222999999999999</v>
      </c>
      <c r="J497" s="265">
        <f>7.72/8</f>
        <v>0.96499999999999997</v>
      </c>
      <c r="K497" s="268">
        <f t="shared" si="837"/>
        <v>45.570194999999998</v>
      </c>
      <c r="L497" s="258">
        <f t="shared" si="832"/>
        <v>52</v>
      </c>
      <c r="M497" s="282">
        <v>4.7500000000000001E-2</v>
      </c>
      <c r="N497" s="22">
        <f t="shared" si="838"/>
        <v>2.2430924999999999</v>
      </c>
      <c r="O497" s="268">
        <f t="shared" si="839"/>
        <v>116.64081</v>
      </c>
      <c r="P497" s="23">
        <f t="shared" si="840"/>
        <v>3.4350000000000001</v>
      </c>
      <c r="Q497" s="268">
        <f t="shared" si="841"/>
        <v>162.211005</v>
      </c>
      <c r="R497" s="118"/>
    </row>
    <row r="498" spans="1:18" x14ac:dyDescent="0.35">
      <c r="A498" s="67" t="str">
        <f>IF(TRIM(G498)&lt;&gt;"",COUNTA(G$11:$G498)&amp;"","")</f>
        <v>307</v>
      </c>
      <c r="B498" s="311"/>
      <c r="C498" s="311"/>
      <c r="D498" s="30"/>
      <c r="E498" s="65" t="s">
        <v>312</v>
      </c>
      <c r="F498" s="69">
        <f>F494*9.25</f>
        <v>397.10250000000002</v>
      </c>
      <c r="G498" s="70" t="s">
        <v>163</v>
      </c>
      <c r="H498" s="21">
        <v>0.1</v>
      </c>
      <c r="I498" s="47">
        <f t="shared" ref="I498:I500" si="842">IF(F498=0,"",F498+(F498*H498))</f>
        <v>436.81275000000005</v>
      </c>
      <c r="J498" s="265">
        <v>2.75</v>
      </c>
      <c r="K498" s="268">
        <f t="shared" ref="K498:K500" si="843">IF(F498=0,"",J498*I498)</f>
        <v>1201.2350625000001</v>
      </c>
      <c r="L498" s="258">
        <f t="shared" ref="L498:L500" si="844">IF(F498=0,"",L$491)</f>
        <v>52</v>
      </c>
      <c r="M498" s="282">
        <v>0.02</v>
      </c>
      <c r="N498" s="22">
        <f t="shared" ref="N498:N500" si="845">IF(F498=0,"",M498*I498)</f>
        <v>8.7362550000000017</v>
      </c>
      <c r="O498" s="268">
        <f t="shared" ref="O498:O500" si="846">IF(F498=0,"",N498*L498)</f>
        <v>454.28526000000011</v>
      </c>
      <c r="P498" s="23">
        <f t="shared" ref="P498:P500" si="847">IF(F498=0,"",(K498+O498)/I498)</f>
        <v>3.79</v>
      </c>
      <c r="Q498" s="268">
        <f t="shared" ref="Q498:Q500" si="848">IF(F498=0,"",(P498*I498))</f>
        <v>1655.5203225000002</v>
      </c>
      <c r="R498" s="118"/>
    </row>
    <row r="499" spans="1:18" x14ac:dyDescent="0.35">
      <c r="A499" s="67" t="str">
        <f>IF(TRIM(G499)&lt;&gt;"",COUNTA(G$11:$G499)&amp;"","")</f>
        <v>308</v>
      </c>
      <c r="B499" s="311"/>
      <c r="C499" s="311"/>
      <c r="D499" s="30"/>
      <c r="E499" s="65" t="s">
        <v>307</v>
      </c>
      <c r="F499" s="69">
        <f>F494*9.25</f>
        <v>397.10250000000002</v>
      </c>
      <c r="G499" s="70" t="s">
        <v>163</v>
      </c>
      <c r="H499" s="21">
        <v>0.1</v>
      </c>
      <c r="I499" s="47">
        <f t="shared" si="842"/>
        <v>436.81275000000005</v>
      </c>
      <c r="J499" s="265">
        <v>0.42</v>
      </c>
      <c r="K499" s="268">
        <f t="shared" si="843"/>
        <v>183.46135500000003</v>
      </c>
      <c r="L499" s="258">
        <f t="shared" si="844"/>
        <v>52</v>
      </c>
      <c r="M499" s="282">
        <v>0.01</v>
      </c>
      <c r="N499" s="22">
        <f t="shared" si="845"/>
        <v>4.3681275000000008</v>
      </c>
      <c r="O499" s="268">
        <f t="shared" si="846"/>
        <v>227.14263000000005</v>
      </c>
      <c r="P499" s="23">
        <f t="shared" si="847"/>
        <v>0.94000000000000006</v>
      </c>
      <c r="Q499" s="268">
        <f t="shared" si="848"/>
        <v>410.60398500000008</v>
      </c>
      <c r="R499" s="118"/>
    </row>
    <row r="500" spans="1:18" x14ac:dyDescent="0.35">
      <c r="A500" s="67" t="str">
        <f>IF(TRIM(G500)&lt;&gt;"",COUNTA(G$11:$G500)&amp;"","")</f>
        <v>309</v>
      </c>
      <c r="B500" s="311"/>
      <c r="C500" s="311"/>
      <c r="D500" s="30"/>
      <c r="E500" s="65" t="s">
        <v>308</v>
      </c>
      <c r="F500" s="69">
        <f>F494*2</f>
        <v>85.86</v>
      </c>
      <c r="G500" s="70" t="s">
        <v>177</v>
      </c>
      <c r="H500" s="21">
        <v>0.1</v>
      </c>
      <c r="I500" s="47">
        <f t="shared" si="842"/>
        <v>94.445999999999998</v>
      </c>
      <c r="J500" s="265">
        <v>0.2</v>
      </c>
      <c r="K500" s="268">
        <f t="shared" si="843"/>
        <v>18.889199999999999</v>
      </c>
      <c r="L500" s="258">
        <f t="shared" si="844"/>
        <v>52</v>
      </c>
      <c r="M500" s="282">
        <v>1.6E-2</v>
      </c>
      <c r="N500" s="22">
        <f t="shared" si="845"/>
        <v>1.511136</v>
      </c>
      <c r="O500" s="268">
        <f t="shared" si="846"/>
        <v>78.579071999999996</v>
      </c>
      <c r="P500" s="23">
        <f t="shared" si="847"/>
        <v>1.032</v>
      </c>
      <c r="Q500" s="268">
        <f t="shared" si="848"/>
        <v>97.468271999999999</v>
      </c>
      <c r="R500" s="118"/>
    </row>
    <row r="501" spans="1:18" x14ac:dyDescent="0.35">
      <c r="A501" s="67" t="str">
        <f>IF(TRIM(G501)&lt;&gt;"",COUNTA(G$11:$G501)&amp;"","")</f>
        <v/>
      </c>
      <c r="B501" s="311"/>
      <c r="C501" s="311"/>
      <c r="D501" s="30"/>
      <c r="E501" s="65"/>
      <c r="F501" s="69"/>
      <c r="G501" s="70"/>
      <c r="H501" s="21"/>
      <c r="I501" s="47"/>
      <c r="J501" s="265"/>
      <c r="K501" s="268"/>
      <c r="L501" s="258"/>
      <c r="M501" s="282"/>
      <c r="N501" s="22"/>
      <c r="O501" s="268"/>
      <c r="P501" s="23"/>
      <c r="Q501" s="268"/>
      <c r="R501" s="118"/>
    </row>
    <row r="502" spans="1:18" x14ac:dyDescent="0.35">
      <c r="A502" s="67" t="str">
        <f>IF(TRIM(G502)&lt;&gt;"",COUNTA(G$11:$G502)&amp;"","")</f>
        <v>310</v>
      </c>
      <c r="B502" s="311"/>
      <c r="C502" s="311"/>
      <c r="D502" s="30"/>
      <c r="E502" s="238" t="s">
        <v>315</v>
      </c>
      <c r="F502" s="239">
        <v>12.67</v>
      </c>
      <c r="G502" s="245" t="s">
        <v>177</v>
      </c>
      <c r="H502" s="21"/>
      <c r="I502" s="47"/>
      <c r="J502" s="265"/>
      <c r="K502" s="268"/>
      <c r="L502" s="258"/>
      <c r="M502" s="282"/>
      <c r="N502" s="22"/>
      <c r="O502" s="268"/>
      <c r="P502" s="23"/>
      <c r="Q502" s="268"/>
      <c r="R502" s="118"/>
    </row>
    <row r="503" spans="1:18" x14ac:dyDescent="0.35">
      <c r="A503" s="67" t="str">
        <f>IF(TRIM(G503)&lt;&gt;"",COUNTA(G$11:$G503)&amp;"","")</f>
        <v>311</v>
      </c>
      <c r="B503" s="311"/>
      <c r="C503" s="311"/>
      <c r="D503" s="30"/>
      <c r="E503" s="65" t="s">
        <v>612</v>
      </c>
      <c r="F503" s="69">
        <v>11</v>
      </c>
      <c r="G503" s="70" t="s">
        <v>211</v>
      </c>
      <c r="H503" s="21">
        <v>0</v>
      </c>
      <c r="I503" s="47">
        <f t="shared" ref="I503:I505" si="849">IF(F503=0,"",F503+(F503*H503))</f>
        <v>11</v>
      </c>
      <c r="J503" s="265">
        <f>10*0.48</f>
        <v>4.8</v>
      </c>
      <c r="K503" s="268">
        <f t="shared" ref="K503:K505" si="850">IF(F503=0,"",J503*I503)</f>
        <v>52.8</v>
      </c>
      <c r="L503" s="258">
        <f t="shared" ref="L503:L505" si="851">IF(F503=0,"",L$491)</f>
        <v>52</v>
      </c>
      <c r="M503" s="282">
        <f>10*0.0475</f>
        <v>0.47499999999999998</v>
      </c>
      <c r="N503" s="22">
        <f t="shared" ref="N503:N505" si="852">IF(F503=0,"",M503*I503)</f>
        <v>5.2249999999999996</v>
      </c>
      <c r="O503" s="268">
        <f t="shared" ref="O503:O505" si="853">IF(F503=0,"",N503*L503)</f>
        <v>271.7</v>
      </c>
      <c r="P503" s="23">
        <f t="shared" ref="P503:P505" si="854">IF(F503=0,"",(K503+O503)/I503)</f>
        <v>29.5</v>
      </c>
      <c r="Q503" s="268">
        <f t="shared" ref="Q503:Q505" si="855">IF(F503=0,"",(P503*I503))</f>
        <v>324.5</v>
      </c>
      <c r="R503" s="118"/>
    </row>
    <row r="504" spans="1:18" x14ac:dyDescent="0.35">
      <c r="A504" s="67" t="str">
        <f>IF(TRIM(G504)&lt;&gt;"",COUNTA(G$11:$G504)&amp;"","")</f>
        <v>312</v>
      </c>
      <c r="B504" s="311"/>
      <c r="C504" s="311"/>
      <c r="D504" s="30"/>
      <c r="E504" s="65" t="s">
        <v>613</v>
      </c>
      <c r="F504" s="69">
        <f>F502*2</f>
        <v>25.34</v>
      </c>
      <c r="G504" s="70" t="s">
        <v>177</v>
      </c>
      <c r="H504" s="21">
        <v>0.1</v>
      </c>
      <c r="I504" s="47">
        <f t="shared" si="849"/>
        <v>27.873999999999999</v>
      </c>
      <c r="J504" s="265">
        <v>0.48</v>
      </c>
      <c r="K504" s="268">
        <f t="shared" si="850"/>
        <v>13.379519999999999</v>
      </c>
      <c r="L504" s="258">
        <f t="shared" si="851"/>
        <v>52</v>
      </c>
      <c r="M504" s="282">
        <v>4.7500000000000001E-2</v>
      </c>
      <c r="N504" s="22">
        <f t="shared" si="852"/>
        <v>1.3240149999999999</v>
      </c>
      <c r="O504" s="268">
        <f t="shared" si="853"/>
        <v>68.848779999999991</v>
      </c>
      <c r="P504" s="23">
        <f t="shared" si="854"/>
        <v>2.9499999999999997</v>
      </c>
      <c r="Q504" s="268">
        <f t="shared" si="855"/>
        <v>82.22829999999999</v>
      </c>
      <c r="R504" s="118"/>
    </row>
    <row r="505" spans="1:18" x14ac:dyDescent="0.35">
      <c r="A505" s="67" t="str">
        <f>IF(TRIM(G505)&lt;&gt;"",COUNTA(G$11:$G505)&amp;"","")</f>
        <v>313</v>
      </c>
      <c r="B505" s="311"/>
      <c r="C505" s="311"/>
      <c r="D505" s="30"/>
      <c r="E505" s="65" t="s">
        <v>614</v>
      </c>
      <c r="F505" s="69">
        <f>F502</f>
        <v>12.67</v>
      </c>
      <c r="G505" s="70" t="s">
        <v>177</v>
      </c>
      <c r="H505" s="21">
        <v>0.1</v>
      </c>
      <c r="I505" s="47">
        <f t="shared" si="849"/>
        <v>13.936999999999999</v>
      </c>
      <c r="J505" s="265">
        <f>7.72/8</f>
        <v>0.96499999999999997</v>
      </c>
      <c r="K505" s="268">
        <f t="shared" si="850"/>
        <v>13.449204999999999</v>
      </c>
      <c r="L505" s="258">
        <f t="shared" si="851"/>
        <v>52</v>
      </c>
      <c r="M505" s="282">
        <v>4.7500000000000001E-2</v>
      </c>
      <c r="N505" s="22">
        <f t="shared" si="852"/>
        <v>0.66200749999999997</v>
      </c>
      <c r="O505" s="268">
        <f t="shared" si="853"/>
        <v>34.424389999999995</v>
      </c>
      <c r="P505" s="23">
        <f t="shared" si="854"/>
        <v>3.4349999999999996</v>
      </c>
      <c r="Q505" s="268">
        <f t="shared" si="855"/>
        <v>47.873594999999995</v>
      </c>
      <c r="R505" s="118"/>
    </row>
    <row r="506" spans="1:18" x14ac:dyDescent="0.35">
      <c r="A506" s="67" t="str">
        <f>IF(TRIM(G506)&lt;&gt;"",COUNTA(G$11:$G506)&amp;"","")</f>
        <v>314</v>
      </c>
      <c r="B506" s="311"/>
      <c r="C506" s="311"/>
      <c r="D506" s="30"/>
      <c r="E506" s="65" t="s">
        <v>314</v>
      </c>
      <c r="F506" s="69">
        <v>152.78</v>
      </c>
      <c r="G506" s="70" t="s">
        <v>163</v>
      </c>
      <c r="H506" s="21">
        <v>0.1</v>
      </c>
      <c r="I506" s="47">
        <f t="shared" ref="I506" si="856">IF(F506=0,"",F506+(F506*H506))</f>
        <v>168.05799999999999</v>
      </c>
      <c r="J506" s="265">
        <v>0.52</v>
      </c>
      <c r="K506" s="268">
        <f t="shared" ref="K506:K508" si="857">IF(F506=0,"",J506*I506)</f>
        <v>87.390159999999995</v>
      </c>
      <c r="L506" s="258">
        <f t="shared" ref="L506:L508" si="858">IF(F506=0,"",L$491)</f>
        <v>52</v>
      </c>
      <c r="M506" s="282">
        <v>1.6E-2</v>
      </c>
      <c r="N506" s="22">
        <f t="shared" ref="N506" si="859">IF(F506=0,"",M506*I506)</f>
        <v>2.6889279999999998</v>
      </c>
      <c r="O506" s="268">
        <f t="shared" ref="O506" si="860">IF(F506=0,"",N506*L506)</f>
        <v>139.82425599999999</v>
      </c>
      <c r="P506" s="23">
        <f t="shared" ref="P506" si="861">IF(F506=0,"",(K506+O506)/I506)</f>
        <v>1.3519999999999999</v>
      </c>
      <c r="Q506" s="268">
        <f t="shared" ref="Q506" si="862">IF(F506=0,"",(P506*I506))</f>
        <v>227.21441599999997</v>
      </c>
      <c r="R506" s="118"/>
    </row>
    <row r="507" spans="1:18" x14ac:dyDescent="0.35">
      <c r="A507" s="67" t="str">
        <f>IF(TRIM(G507)&lt;&gt;"",COUNTA(G$11:$G507)&amp;"","")</f>
        <v>315</v>
      </c>
      <c r="B507" s="311"/>
      <c r="C507" s="311"/>
      <c r="D507" s="30"/>
      <c r="E507" s="65" t="s">
        <v>307</v>
      </c>
      <c r="F507" s="69">
        <f>F502*6.58</f>
        <v>83.368600000000001</v>
      </c>
      <c r="G507" s="70" t="s">
        <v>163</v>
      </c>
      <c r="H507" s="21">
        <v>0.1</v>
      </c>
      <c r="I507" s="47">
        <f t="shared" ref="I507:I508" si="863">IF(F507=0,"",F507+(F507*H507))</f>
        <v>91.705460000000002</v>
      </c>
      <c r="J507" s="265">
        <v>0.42</v>
      </c>
      <c r="K507" s="268">
        <f t="shared" si="857"/>
        <v>38.5162932</v>
      </c>
      <c r="L507" s="258">
        <f t="shared" si="858"/>
        <v>52</v>
      </c>
      <c r="M507" s="282">
        <v>0.01</v>
      </c>
      <c r="N507" s="22">
        <f t="shared" ref="N507:N508" si="864">IF(F507=0,"",M507*I507)</f>
        <v>0.91705460000000005</v>
      </c>
      <c r="O507" s="268">
        <f t="shared" ref="O507:O508" si="865">IF(F507=0,"",N507*L507)</f>
        <v>47.686839200000001</v>
      </c>
      <c r="P507" s="23">
        <f t="shared" ref="P507:P508" si="866">IF(F507=0,"",(K507+O507)/I507)</f>
        <v>0.94</v>
      </c>
      <c r="Q507" s="268">
        <f t="shared" ref="Q507:Q508" si="867">IF(F507=0,"",(P507*I507))</f>
        <v>86.203132400000001</v>
      </c>
      <c r="R507" s="118"/>
    </row>
    <row r="508" spans="1:18" x14ac:dyDescent="0.35">
      <c r="A508" s="67" t="str">
        <f>IF(TRIM(G508)&lt;&gt;"",COUNTA(G$11:$G508)&amp;"","")</f>
        <v>316</v>
      </c>
      <c r="B508" s="311"/>
      <c r="C508" s="311"/>
      <c r="D508" s="30"/>
      <c r="E508" s="65" t="s">
        <v>308</v>
      </c>
      <c r="F508" s="69">
        <f>F502*2</f>
        <v>25.34</v>
      </c>
      <c r="G508" s="70" t="s">
        <v>177</v>
      </c>
      <c r="H508" s="21">
        <v>0.1</v>
      </c>
      <c r="I508" s="47">
        <f t="shared" si="863"/>
        <v>27.873999999999999</v>
      </c>
      <c r="J508" s="265">
        <v>0.2</v>
      </c>
      <c r="K508" s="268">
        <f t="shared" si="857"/>
        <v>5.5747999999999998</v>
      </c>
      <c r="L508" s="258">
        <f t="shared" si="858"/>
        <v>52</v>
      </c>
      <c r="M508" s="282">
        <v>1.6E-2</v>
      </c>
      <c r="N508" s="22">
        <f t="shared" si="864"/>
        <v>0.44598399999999999</v>
      </c>
      <c r="O508" s="268">
        <f t="shared" si="865"/>
        <v>23.191168000000001</v>
      </c>
      <c r="P508" s="23">
        <f t="shared" si="866"/>
        <v>1.032</v>
      </c>
      <c r="Q508" s="268">
        <f t="shared" si="867"/>
        <v>28.765968000000001</v>
      </c>
      <c r="R508" s="118"/>
    </row>
    <row r="509" spans="1:18" x14ac:dyDescent="0.35">
      <c r="A509" s="67" t="str">
        <f>IF(TRIM(G509)&lt;&gt;"",COUNTA(G$11:$G509)&amp;"","")</f>
        <v/>
      </c>
      <c r="B509" s="311"/>
      <c r="C509" s="311"/>
      <c r="D509" s="30"/>
      <c r="E509" s="65"/>
      <c r="F509" s="69"/>
      <c r="G509" s="70"/>
      <c r="H509" s="21"/>
      <c r="I509" s="47"/>
      <c r="J509" s="265"/>
      <c r="K509" s="268"/>
      <c r="L509" s="258"/>
      <c r="M509" s="282"/>
      <c r="N509" s="22"/>
      <c r="O509" s="268"/>
      <c r="P509" s="23"/>
      <c r="Q509" s="268"/>
      <c r="R509" s="118"/>
    </row>
    <row r="510" spans="1:18" x14ac:dyDescent="0.35">
      <c r="A510" s="67" t="str">
        <f>IF(TRIM(G510)&lt;&gt;"",COUNTA(G$11:$G510)&amp;"","")</f>
        <v>317</v>
      </c>
      <c r="B510" s="311"/>
      <c r="C510" s="311"/>
      <c r="D510" s="30"/>
      <c r="E510" s="238" t="s">
        <v>306</v>
      </c>
      <c r="F510" s="239">
        <v>7.72</v>
      </c>
      <c r="G510" s="245" t="s">
        <v>177</v>
      </c>
      <c r="H510" s="21"/>
      <c r="I510" s="47"/>
      <c r="J510" s="265"/>
      <c r="K510" s="268"/>
      <c r="L510" s="258"/>
      <c r="M510" s="282"/>
      <c r="N510" s="22"/>
      <c r="O510" s="268"/>
      <c r="P510" s="23"/>
      <c r="Q510" s="268"/>
      <c r="R510" s="118"/>
    </row>
    <row r="511" spans="1:18" x14ac:dyDescent="0.35">
      <c r="A511" s="67" t="str">
        <f>IF(TRIM(G511)&lt;&gt;"",COUNTA(G$11:$G511)&amp;"","")</f>
        <v>318</v>
      </c>
      <c r="B511" s="311"/>
      <c r="C511" s="311"/>
      <c r="D511" s="30"/>
      <c r="E511" s="65" t="s">
        <v>612</v>
      </c>
      <c r="F511" s="69">
        <v>7</v>
      </c>
      <c r="G511" s="70" t="s">
        <v>211</v>
      </c>
      <c r="H511" s="21">
        <v>0</v>
      </c>
      <c r="I511" s="47">
        <f t="shared" ref="I511:I513" si="868">IF(F511=0,"",F511+(F511*H511))</f>
        <v>7</v>
      </c>
      <c r="J511" s="265">
        <f>10*0.48</f>
        <v>4.8</v>
      </c>
      <c r="K511" s="268">
        <f t="shared" ref="K511:K513" si="869">IF(F511=0,"",J511*I511)</f>
        <v>33.6</v>
      </c>
      <c r="L511" s="258">
        <f t="shared" ref="L511:L513" si="870">IF(F511=0,"",L$491)</f>
        <v>52</v>
      </c>
      <c r="M511" s="282">
        <f>10*0.0475</f>
        <v>0.47499999999999998</v>
      </c>
      <c r="N511" s="22">
        <f t="shared" ref="N511:N513" si="871">IF(F511=0,"",M511*I511)</f>
        <v>3.3249999999999997</v>
      </c>
      <c r="O511" s="268">
        <f t="shared" ref="O511:O513" si="872">IF(F511=0,"",N511*L511)</f>
        <v>172.89999999999998</v>
      </c>
      <c r="P511" s="23">
        <f t="shared" ref="P511:P513" si="873">IF(F511=0,"",(K511+O511)/I511)</f>
        <v>29.499999999999996</v>
      </c>
      <c r="Q511" s="268">
        <f t="shared" ref="Q511:Q513" si="874">IF(F511=0,"",(P511*I511))</f>
        <v>206.49999999999997</v>
      </c>
      <c r="R511" s="118"/>
    </row>
    <row r="512" spans="1:18" x14ac:dyDescent="0.35">
      <c r="A512" s="67" t="str">
        <f>IF(TRIM(G512)&lt;&gt;"",COUNTA(G$11:$G512)&amp;"","")</f>
        <v>319</v>
      </c>
      <c r="B512" s="311"/>
      <c r="C512" s="311"/>
      <c r="D512" s="30"/>
      <c r="E512" s="65" t="s">
        <v>613</v>
      </c>
      <c r="F512" s="69">
        <f>F510*2</f>
        <v>15.44</v>
      </c>
      <c r="G512" s="70" t="s">
        <v>177</v>
      </c>
      <c r="H512" s="21">
        <v>0.1</v>
      </c>
      <c r="I512" s="47">
        <f t="shared" si="868"/>
        <v>16.983999999999998</v>
      </c>
      <c r="J512" s="265">
        <v>0.48</v>
      </c>
      <c r="K512" s="268">
        <f t="shared" si="869"/>
        <v>8.1523199999999996</v>
      </c>
      <c r="L512" s="258">
        <f t="shared" si="870"/>
        <v>52</v>
      </c>
      <c r="M512" s="282">
        <v>4.7500000000000001E-2</v>
      </c>
      <c r="N512" s="22">
        <f t="shared" si="871"/>
        <v>0.8067399999999999</v>
      </c>
      <c r="O512" s="268">
        <f t="shared" si="872"/>
        <v>41.950479999999992</v>
      </c>
      <c r="P512" s="23">
        <f t="shared" si="873"/>
        <v>2.9499999999999997</v>
      </c>
      <c r="Q512" s="268">
        <f t="shared" si="874"/>
        <v>50.102799999999988</v>
      </c>
      <c r="R512" s="118"/>
    </row>
    <row r="513" spans="1:18" x14ac:dyDescent="0.35">
      <c r="A513" s="67" t="str">
        <f>IF(TRIM(G513)&lt;&gt;"",COUNTA(G$11:$G513)&amp;"","")</f>
        <v>320</v>
      </c>
      <c r="B513" s="311"/>
      <c r="C513" s="311"/>
      <c r="D513" s="30"/>
      <c r="E513" s="65" t="s">
        <v>614</v>
      </c>
      <c r="F513" s="69">
        <f>F510</f>
        <v>7.72</v>
      </c>
      <c r="G513" s="70" t="s">
        <v>177</v>
      </c>
      <c r="H513" s="21">
        <v>0.1</v>
      </c>
      <c r="I513" s="47">
        <f t="shared" si="868"/>
        <v>8.4919999999999991</v>
      </c>
      <c r="J513" s="265">
        <f>7.72/8</f>
        <v>0.96499999999999997</v>
      </c>
      <c r="K513" s="268">
        <f t="shared" si="869"/>
        <v>8.1947799999999997</v>
      </c>
      <c r="L513" s="258">
        <f t="shared" si="870"/>
        <v>52</v>
      </c>
      <c r="M513" s="282">
        <v>4.7500000000000001E-2</v>
      </c>
      <c r="N513" s="22">
        <f t="shared" si="871"/>
        <v>0.40336999999999995</v>
      </c>
      <c r="O513" s="268">
        <f t="shared" si="872"/>
        <v>20.975239999999996</v>
      </c>
      <c r="P513" s="23">
        <f t="shared" si="873"/>
        <v>3.4349999999999996</v>
      </c>
      <c r="Q513" s="268">
        <f t="shared" si="874"/>
        <v>29.170019999999994</v>
      </c>
      <c r="R513" s="118"/>
    </row>
    <row r="514" spans="1:18" x14ac:dyDescent="0.35">
      <c r="A514" s="67" t="str">
        <f>IF(TRIM(G514)&lt;&gt;"",COUNTA(G$11:$G514)&amp;"","")</f>
        <v>321</v>
      </c>
      <c r="B514" s="311"/>
      <c r="C514" s="311"/>
      <c r="D514" s="30"/>
      <c r="E514" s="65" t="s">
        <v>307</v>
      </c>
      <c r="F514" s="69">
        <f>F510*9.25</f>
        <v>71.41</v>
      </c>
      <c r="G514" s="70" t="s">
        <v>163</v>
      </c>
      <c r="H514" s="21">
        <v>0.1</v>
      </c>
      <c r="I514" s="47">
        <f t="shared" ref="I514:I515" si="875">IF(F514=0,"",F514+(F514*H514))</f>
        <v>78.551000000000002</v>
      </c>
      <c r="J514" s="265">
        <v>0.42</v>
      </c>
      <c r="K514" s="268">
        <f t="shared" ref="K514:K515" si="876">IF(F514=0,"",J514*I514)</f>
        <v>32.991419999999998</v>
      </c>
      <c r="L514" s="258">
        <f t="shared" ref="L514:L515" si="877">IF(F514=0,"",L$491)</f>
        <v>52</v>
      </c>
      <c r="M514" s="282">
        <v>0.01</v>
      </c>
      <c r="N514" s="22">
        <f t="shared" ref="N514:N515" si="878">IF(F514=0,"",M514*I514)</f>
        <v>0.78551000000000004</v>
      </c>
      <c r="O514" s="268">
        <f t="shared" ref="O514:O515" si="879">IF(F514=0,"",N514*L514)</f>
        <v>40.846520000000005</v>
      </c>
      <c r="P514" s="23">
        <f t="shared" ref="P514:P515" si="880">IF(F514=0,"",(K514+O514)/I514)</f>
        <v>0.94000000000000006</v>
      </c>
      <c r="Q514" s="268">
        <f t="shared" ref="Q514:Q515" si="881">IF(F514=0,"",(P514*I514))</f>
        <v>73.837940000000003</v>
      </c>
      <c r="R514" s="118"/>
    </row>
    <row r="515" spans="1:18" x14ac:dyDescent="0.35">
      <c r="A515" s="67" t="str">
        <f>IF(TRIM(G515)&lt;&gt;"",COUNTA(G$11:$G515)&amp;"","")</f>
        <v>322</v>
      </c>
      <c r="B515" s="311"/>
      <c r="C515" s="311"/>
      <c r="D515" s="30"/>
      <c r="E515" s="65" t="s">
        <v>308</v>
      </c>
      <c r="F515" s="69">
        <f>F510*2</f>
        <v>15.44</v>
      </c>
      <c r="G515" s="70" t="s">
        <v>177</v>
      </c>
      <c r="H515" s="21">
        <v>0.1</v>
      </c>
      <c r="I515" s="47">
        <f t="shared" si="875"/>
        <v>16.983999999999998</v>
      </c>
      <c r="J515" s="265">
        <v>0.2</v>
      </c>
      <c r="K515" s="268">
        <f t="shared" si="876"/>
        <v>3.3967999999999998</v>
      </c>
      <c r="L515" s="258">
        <f t="shared" si="877"/>
        <v>52</v>
      </c>
      <c r="M515" s="282">
        <v>1.6E-2</v>
      </c>
      <c r="N515" s="22">
        <f t="shared" si="878"/>
        <v>0.27174399999999999</v>
      </c>
      <c r="O515" s="268">
        <f t="shared" si="879"/>
        <v>14.130687999999999</v>
      </c>
      <c r="P515" s="23">
        <f t="shared" si="880"/>
        <v>1.032</v>
      </c>
      <c r="Q515" s="268">
        <f t="shared" si="881"/>
        <v>17.527487999999998</v>
      </c>
      <c r="R515" s="118"/>
    </row>
    <row r="516" spans="1:18" x14ac:dyDescent="0.35">
      <c r="A516" s="67" t="str">
        <f>IF(TRIM(G516)&lt;&gt;"",COUNTA(G$11:$G516)&amp;"","")</f>
        <v/>
      </c>
      <c r="B516" s="311"/>
      <c r="C516" s="311"/>
      <c r="D516" s="30"/>
      <c r="E516" s="65"/>
      <c r="F516" s="69"/>
      <c r="G516" s="70"/>
      <c r="H516" s="21"/>
      <c r="I516" s="47"/>
      <c r="J516" s="265"/>
      <c r="K516" s="268"/>
      <c r="L516" s="258"/>
      <c r="M516" s="282"/>
      <c r="N516" s="22"/>
      <c r="O516" s="268"/>
      <c r="P516" s="23"/>
      <c r="Q516" s="268"/>
      <c r="R516" s="118"/>
    </row>
    <row r="517" spans="1:18" x14ac:dyDescent="0.35">
      <c r="A517" s="67" t="str">
        <f>IF(TRIM(G517)&lt;&gt;"",COUNTA(G$11:$G517)&amp;"","")</f>
        <v/>
      </c>
      <c r="B517" s="311"/>
      <c r="C517" s="311"/>
      <c r="D517" s="30"/>
      <c r="E517" s="243" t="s">
        <v>316</v>
      </c>
      <c r="F517" s="69"/>
      <c r="G517" s="70"/>
      <c r="H517" s="21"/>
      <c r="I517" s="47"/>
      <c r="J517" s="265"/>
      <c r="K517" s="268"/>
      <c r="L517" s="258"/>
      <c r="M517" s="282"/>
      <c r="N517" s="22"/>
      <c r="O517" s="268"/>
      <c r="P517" s="23"/>
      <c r="Q517" s="268"/>
      <c r="R517" s="118"/>
    </row>
    <row r="518" spans="1:18" x14ac:dyDescent="0.35">
      <c r="A518" s="67" t="str">
        <f>IF(TRIM(G518)&lt;&gt;"",COUNTA(G$11:$G518)&amp;"","")</f>
        <v>323</v>
      </c>
      <c r="B518" s="311"/>
      <c r="C518" s="311"/>
      <c r="D518" s="30"/>
      <c r="E518" s="238" t="s">
        <v>317</v>
      </c>
      <c r="F518" s="239">
        <v>4</v>
      </c>
      <c r="G518" s="245" t="s">
        <v>177</v>
      </c>
      <c r="H518" s="21"/>
      <c r="I518" s="47"/>
      <c r="J518" s="265"/>
      <c r="K518" s="268"/>
      <c r="L518" s="258"/>
      <c r="M518" s="282"/>
      <c r="N518" s="22"/>
      <c r="O518" s="268"/>
      <c r="P518" s="23"/>
      <c r="Q518" s="268"/>
      <c r="R518" s="118"/>
    </row>
    <row r="519" spans="1:18" x14ac:dyDescent="0.35">
      <c r="A519" s="67" t="str">
        <f>IF(TRIM(G519)&lt;&gt;"",COUNTA(G$11:$G519)&amp;"","")</f>
        <v>324</v>
      </c>
      <c r="B519" s="311"/>
      <c r="C519" s="311"/>
      <c r="D519" s="30"/>
      <c r="E519" s="65" t="s">
        <v>612</v>
      </c>
      <c r="F519" s="69">
        <v>4</v>
      </c>
      <c r="G519" s="70" t="s">
        <v>211</v>
      </c>
      <c r="H519" s="21">
        <v>0</v>
      </c>
      <c r="I519" s="47">
        <f t="shared" ref="I519:I521" si="882">IF(F519=0,"",F519+(F519*H519))</f>
        <v>4</v>
      </c>
      <c r="J519" s="265">
        <f>10*0.48</f>
        <v>4.8</v>
      </c>
      <c r="K519" s="268">
        <f t="shared" ref="K519:K521" si="883">IF(F519=0,"",J519*I519)</f>
        <v>19.2</v>
      </c>
      <c r="L519" s="258">
        <f t="shared" ref="L519:L521" si="884">IF(F519=0,"",L$491)</f>
        <v>52</v>
      </c>
      <c r="M519" s="282">
        <f>10*0.0475</f>
        <v>0.47499999999999998</v>
      </c>
      <c r="N519" s="22">
        <f t="shared" ref="N519:N521" si="885">IF(F519=0,"",M519*I519)</f>
        <v>1.9</v>
      </c>
      <c r="O519" s="268">
        <f t="shared" ref="O519:O521" si="886">IF(F519=0,"",N519*L519)</f>
        <v>98.8</v>
      </c>
      <c r="P519" s="23">
        <f t="shared" ref="P519:P521" si="887">IF(F519=0,"",(K519+O519)/I519)</f>
        <v>29.5</v>
      </c>
      <c r="Q519" s="268">
        <f t="shared" ref="Q519:Q521" si="888">IF(F519=0,"",(P519*I519))</f>
        <v>118</v>
      </c>
      <c r="R519" s="118"/>
    </row>
    <row r="520" spans="1:18" x14ac:dyDescent="0.35">
      <c r="A520" s="67" t="str">
        <f>IF(TRIM(G520)&lt;&gt;"",COUNTA(G$11:$G520)&amp;"","")</f>
        <v>325</v>
      </c>
      <c r="B520" s="311"/>
      <c r="C520" s="311"/>
      <c r="D520" s="30"/>
      <c r="E520" s="65" t="s">
        <v>613</v>
      </c>
      <c r="F520" s="69">
        <f>F518*2</f>
        <v>8</v>
      </c>
      <c r="G520" s="70" t="s">
        <v>177</v>
      </c>
      <c r="H520" s="21">
        <v>0.1</v>
      </c>
      <c r="I520" s="47">
        <f t="shared" si="882"/>
        <v>8.8000000000000007</v>
      </c>
      <c r="J520" s="265">
        <v>0.48</v>
      </c>
      <c r="K520" s="268">
        <f t="shared" si="883"/>
        <v>4.2240000000000002</v>
      </c>
      <c r="L520" s="258">
        <f t="shared" si="884"/>
        <v>52</v>
      </c>
      <c r="M520" s="282">
        <v>4.7500000000000001E-2</v>
      </c>
      <c r="N520" s="22">
        <f t="shared" si="885"/>
        <v>0.41800000000000004</v>
      </c>
      <c r="O520" s="268">
        <f t="shared" si="886"/>
        <v>21.736000000000001</v>
      </c>
      <c r="P520" s="23">
        <f t="shared" si="887"/>
        <v>2.9499999999999997</v>
      </c>
      <c r="Q520" s="268">
        <f t="shared" si="888"/>
        <v>25.96</v>
      </c>
      <c r="R520" s="118"/>
    </row>
    <row r="521" spans="1:18" x14ac:dyDescent="0.35">
      <c r="A521" s="67" t="str">
        <f>IF(TRIM(G521)&lt;&gt;"",COUNTA(G$11:$G521)&amp;"","")</f>
        <v>326</v>
      </c>
      <c r="B521" s="311"/>
      <c r="C521" s="311"/>
      <c r="D521" s="30"/>
      <c r="E521" s="65" t="s">
        <v>614</v>
      </c>
      <c r="F521" s="69">
        <f>F518</f>
        <v>4</v>
      </c>
      <c r="G521" s="70" t="s">
        <v>177</v>
      </c>
      <c r="H521" s="21">
        <v>0.1</v>
      </c>
      <c r="I521" s="47">
        <f t="shared" si="882"/>
        <v>4.4000000000000004</v>
      </c>
      <c r="J521" s="265">
        <f>7.72/8</f>
        <v>0.96499999999999997</v>
      </c>
      <c r="K521" s="268">
        <f t="shared" si="883"/>
        <v>4.2460000000000004</v>
      </c>
      <c r="L521" s="258">
        <f t="shared" si="884"/>
        <v>52</v>
      </c>
      <c r="M521" s="282">
        <v>4.7500000000000001E-2</v>
      </c>
      <c r="N521" s="22">
        <f t="shared" si="885"/>
        <v>0.20900000000000002</v>
      </c>
      <c r="O521" s="268">
        <f t="shared" si="886"/>
        <v>10.868</v>
      </c>
      <c r="P521" s="23">
        <f t="shared" si="887"/>
        <v>3.4350000000000001</v>
      </c>
      <c r="Q521" s="268">
        <f t="shared" si="888"/>
        <v>15.114000000000001</v>
      </c>
      <c r="R521" s="118"/>
    </row>
    <row r="522" spans="1:18" x14ac:dyDescent="0.35">
      <c r="A522" s="67" t="str">
        <f>IF(TRIM(G522)&lt;&gt;"",COUNTA(G$11:$G522)&amp;"","")</f>
        <v>327</v>
      </c>
      <c r="B522" s="311"/>
      <c r="C522" s="311"/>
      <c r="D522" s="30"/>
      <c r="E522" s="65" t="s">
        <v>314</v>
      </c>
      <c r="F522" s="69">
        <f>F518*5.33</f>
        <v>21.32</v>
      </c>
      <c r="G522" s="70" t="s">
        <v>163</v>
      </c>
      <c r="H522" s="21">
        <v>0.1</v>
      </c>
      <c r="I522" s="47">
        <f t="shared" ref="I522:I523" si="889">IF(F522=0,"",F522+(F522*H522))</f>
        <v>23.452000000000002</v>
      </c>
      <c r="J522" s="265">
        <v>0.52</v>
      </c>
      <c r="K522" s="268">
        <f t="shared" ref="K522:K523" si="890">IF(F522=0,"",J522*I522)</f>
        <v>12.195040000000001</v>
      </c>
      <c r="L522" s="258">
        <f t="shared" ref="L522:L523" si="891">IF(F522=0,"",L$491)</f>
        <v>52</v>
      </c>
      <c r="M522" s="282">
        <v>1.6E-2</v>
      </c>
      <c r="N522" s="22">
        <f t="shared" ref="N522:N523" si="892">IF(F522=0,"",M522*I522)</f>
        <v>0.37523200000000001</v>
      </c>
      <c r="O522" s="268">
        <f t="shared" ref="O522:O523" si="893">IF(F522=0,"",N522*L522)</f>
        <v>19.512064000000002</v>
      </c>
      <c r="P522" s="23">
        <f t="shared" ref="P522:P523" si="894">IF(F522=0,"",(K522+O522)/I522)</f>
        <v>1.3519999999999999</v>
      </c>
      <c r="Q522" s="268">
        <f t="shared" ref="Q522:Q523" si="895">IF(F522=0,"",(P522*I522))</f>
        <v>31.707103999999998</v>
      </c>
      <c r="R522" s="118"/>
    </row>
    <row r="523" spans="1:18" x14ac:dyDescent="0.35">
      <c r="A523" s="67" t="str">
        <f>IF(TRIM(G523)&lt;&gt;"",COUNTA(G$11:$G523)&amp;"","")</f>
        <v>328</v>
      </c>
      <c r="B523" s="311"/>
      <c r="C523" s="311"/>
      <c r="D523" s="30"/>
      <c r="E523" s="65" t="s">
        <v>308</v>
      </c>
      <c r="F523" s="69">
        <f>F518*2</f>
        <v>8</v>
      </c>
      <c r="G523" s="70" t="s">
        <v>177</v>
      </c>
      <c r="H523" s="21">
        <v>0.1</v>
      </c>
      <c r="I523" s="47">
        <f t="shared" si="889"/>
        <v>8.8000000000000007</v>
      </c>
      <c r="J523" s="265">
        <v>0.2</v>
      </c>
      <c r="K523" s="268">
        <f t="shared" si="890"/>
        <v>1.7600000000000002</v>
      </c>
      <c r="L523" s="258">
        <f t="shared" si="891"/>
        <v>52</v>
      </c>
      <c r="M523" s="282">
        <v>1.6E-2</v>
      </c>
      <c r="N523" s="22">
        <f t="shared" si="892"/>
        <v>0.14080000000000001</v>
      </c>
      <c r="O523" s="268">
        <f t="shared" si="893"/>
        <v>7.3216000000000001</v>
      </c>
      <c r="P523" s="23">
        <f t="shared" si="894"/>
        <v>1.0319999999999998</v>
      </c>
      <c r="Q523" s="268">
        <f t="shared" si="895"/>
        <v>9.0815999999999999</v>
      </c>
      <c r="R523" s="118"/>
    </row>
    <row r="524" spans="1:18" x14ac:dyDescent="0.35">
      <c r="A524" s="67" t="str">
        <f>IF(TRIM(G524)&lt;&gt;"",COUNTA(G$11:$G524)&amp;"","")</f>
        <v/>
      </c>
      <c r="B524" s="311"/>
      <c r="C524" s="311"/>
      <c r="D524" s="30"/>
      <c r="E524" s="65"/>
      <c r="F524" s="69"/>
      <c r="G524" s="70"/>
      <c r="H524" s="21"/>
      <c r="I524" s="47"/>
      <c r="J524" s="265"/>
      <c r="K524" s="268"/>
      <c r="L524" s="258"/>
      <c r="M524" s="282"/>
      <c r="N524" s="22"/>
      <c r="O524" s="268"/>
      <c r="P524" s="23"/>
      <c r="Q524" s="268"/>
      <c r="R524" s="118"/>
    </row>
    <row r="525" spans="1:18" x14ac:dyDescent="0.35">
      <c r="A525" s="67" t="str">
        <f>IF(TRIM(G525)&lt;&gt;"",COUNTA(G$11:$G525)&amp;"","")</f>
        <v/>
      </c>
      <c r="B525" s="311"/>
      <c r="C525" s="311"/>
      <c r="D525" s="30"/>
      <c r="E525" s="243" t="s">
        <v>313</v>
      </c>
      <c r="F525" s="69"/>
      <c r="G525" s="70"/>
      <c r="H525" s="21"/>
      <c r="I525" s="47"/>
      <c r="J525" s="265"/>
      <c r="K525" s="268"/>
      <c r="L525" s="258"/>
      <c r="M525" s="282"/>
      <c r="N525" s="22"/>
      <c r="O525" s="268"/>
      <c r="P525" s="23"/>
      <c r="Q525" s="268"/>
      <c r="R525" s="118"/>
    </row>
    <row r="526" spans="1:18" x14ac:dyDescent="0.35">
      <c r="A526" s="67" t="str">
        <f>IF(TRIM(G526)&lt;&gt;"",COUNTA(G$11:$G526)&amp;"","")</f>
        <v>329</v>
      </c>
      <c r="B526" s="311"/>
      <c r="C526" s="311"/>
      <c r="D526" s="30"/>
      <c r="E526" s="238" t="s">
        <v>309</v>
      </c>
      <c r="F526" s="239">
        <v>17.100000000000001</v>
      </c>
      <c r="G526" s="245" t="s">
        <v>177</v>
      </c>
      <c r="H526" s="21"/>
      <c r="I526" s="47"/>
      <c r="J526" s="265"/>
      <c r="K526" s="268"/>
      <c r="L526" s="258"/>
      <c r="M526" s="282"/>
      <c r="N526" s="22"/>
      <c r="O526" s="268"/>
      <c r="P526" s="23"/>
      <c r="Q526" s="268"/>
      <c r="R526" s="118"/>
    </row>
    <row r="527" spans="1:18" x14ac:dyDescent="0.35">
      <c r="A527" s="67" t="str">
        <f>IF(TRIM(G527)&lt;&gt;"",COUNTA(G$11:$G527)&amp;"","")</f>
        <v>330</v>
      </c>
      <c r="B527" s="311"/>
      <c r="C527" s="311"/>
      <c r="D527" s="30"/>
      <c r="E527" s="65" t="s">
        <v>612</v>
      </c>
      <c r="F527" s="69">
        <v>6</v>
      </c>
      <c r="G527" s="70" t="s">
        <v>211</v>
      </c>
      <c r="H527" s="21">
        <v>0</v>
      </c>
      <c r="I527" s="47">
        <f t="shared" ref="I527:I529" si="896">IF(F527=0,"",F527+(F527*H527))</f>
        <v>6</v>
      </c>
      <c r="J527" s="265">
        <f>10*0.48</f>
        <v>4.8</v>
      </c>
      <c r="K527" s="268">
        <f t="shared" ref="K527:K529" si="897">IF(F527=0,"",J527*I527)</f>
        <v>28.799999999999997</v>
      </c>
      <c r="L527" s="258">
        <f t="shared" ref="L527:L529" si="898">IF(F527=0,"",L$491)</f>
        <v>52</v>
      </c>
      <c r="M527" s="282">
        <f>10*0.0475</f>
        <v>0.47499999999999998</v>
      </c>
      <c r="N527" s="22">
        <f t="shared" ref="N527:N529" si="899">IF(F527=0,"",M527*I527)</f>
        <v>2.8499999999999996</v>
      </c>
      <c r="O527" s="268">
        <f t="shared" ref="O527:O529" si="900">IF(F527=0,"",N527*L527)</f>
        <v>148.19999999999999</v>
      </c>
      <c r="P527" s="23">
        <f t="shared" ref="P527:P529" si="901">IF(F527=0,"",(K527+O527)/I527)</f>
        <v>29.5</v>
      </c>
      <c r="Q527" s="268">
        <f t="shared" ref="Q527:Q529" si="902">IF(F527=0,"",(P527*I527))</f>
        <v>177</v>
      </c>
      <c r="R527" s="118"/>
    </row>
    <row r="528" spans="1:18" x14ac:dyDescent="0.35">
      <c r="A528" s="67" t="str">
        <f>IF(TRIM(G528)&lt;&gt;"",COUNTA(G$11:$G528)&amp;"","")</f>
        <v>331</v>
      </c>
      <c r="B528" s="311"/>
      <c r="C528" s="311"/>
      <c r="D528" s="30"/>
      <c r="E528" s="65" t="s">
        <v>613</v>
      </c>
      <c r="F528" s="69">
        <f>F526*2</f>
        <v>34.200000000000003</v>
      </c>
      <c r="G528" s="70" t="s">
        <v>177</v>
      </c>
      <c r="H528" s="21">
        <v>0.1</v>
      </c>
      <c r="I528" s="47">
        <f t="shared" si="896"/>
        <v>37.620000000000005</v>
      </c>
      <c r="J528" s="265">
        <v>0.48</v>
      </c>
      <c r="K528" s="268">
        <f t="shared" si="897"/>
        <v>18.057600000000001</v>
      </c>
      <c r="L528" s="258">
        <f t="shared" si="898"/>
        <v>52</v>
      </c>
      <c r="M528" s="282">
        <v>4.7500000000000001E-2</v>
      </c>
      <c r="N528" s="22">
        <f t="shared" si="899"/>
        <v>1.7869500000000003</v>
      </c>
      <c r="O528" s="268">
        <f t="shared" si="900"/>
        <v>92.92140000000002</v>
      </c>
      <c r="P528" s="23">
        <f t="shared" si="901"/>
        <v>2.95</v>
      </c>
      <c r="Q528" s="268">
        <f t="shared" si="902"/>
        <v>110.97900000000001</v>
      </c>
      <c r="R528" s="118"/>
    </row>
    <row r="529" spans="1:18" x14ac:dyDescent="0.35">
      <c r="A529" s="67" t="str">
        <f>IF(TRIM(G529)&lt;&gt;"",COUNTA(G$11:$G529)&amp;"","")</f>
        <v>332</v>
      </c>
      <c r="B529" s="311"/>
      <c r="C529" s="311"/>
      <c r="D529" s="30"/>
      <c r="E529" s="65" t="s">
        <v>615</v>
      </c>
      <c r="F529" s="69">
        <f>F526</f>
        <v>17.100000000000001</v>
      </c>
      <c r="G529" s="70" t="s">
        <v>177</v>
      </c>
      <c r="H529" s="21">
        <v>0.1</v>
      </c>
      <c r="I529" s="47">
        <f t="shared" si="896"/>
        <v>18.810000000000002</v>
      </c>
      <c r="J529" s="265">
        <f>7.72/8</f>
        <v>0.96499999999999997</v>
      </c>
      <c r="K529" s="268">
        <f t="shared" si="897"/>
        <v>18.15165</v>
      </c>
      <c r="L529" s="258">
        <f t="shared" si="898"/>
        <v>52</v>
      </c>
      <c r="M529" s="282">
        <v>4.7500000000000001E-2</v>
      </c>
      <c r="N529" s="22">
        <f t="shared" si="899"/>
        <v>0.89347500000000013</v>
      </c>
      <c r="O529" s="268">
        <f t="shared" si="900"/>
        <v>46.46070000000001</v>
      </c>
      <c r="P529" s="23">
        <f t="shared" si="901"/>
        <v>3.4350000000000001</v>
      </c>
      <c r="Q529" s="268">
        <f t="shared" si="902"/>
        <v>64.612350000000006</v>
      </c>
      <c r="R529" s="118"/>
    </row>
    <row r="530" spans="1:18" x14ac:dyDescent="0.35">
      <c r="A530" s="67" t="str">
        <f>IF(TRIM(G530)&lt;&gt;"",COUNTA(G$11:$G530)&amp;"","")</f>
        <v>333</v>
      </c>
      <c r="B530" s="311"/>
      <c r="C530" s="311"/>
      <c r="D530" s="30"/>
      <c r="E530" s="65" t="s">
        <v>307</v>
      </c>
      <c r="F530" s="69">
        <f>F526*1.67*2</f>
        <v>57.114000000000004</v>
      </c>
      <c r="G530" s="70" t="s">
        <v>163</v>
      </c>
      <c r="H530" s="21">
        <v>0.1</v>
      </c>
      <c r="I530" s="47">
        <f t="shared" ref="I530:I532" si="903">IF(F530=0,"",F530+(F530*H530))</f>
        <v>62.825400000000002</v>
      </c>
      <c r="J530" s="265">
        <v>0.42</v>
      </c>
      <c r="K530" s="268">
        <f t="shared" ref="K530" si="904">IF(F530=0,"",J530*I530)</f>
        <v>26.386668</v>
      </c>
      <c r="L530" s="258">
        <f t="shared" ref="L530" si="905">IF(F530=0,"",L$491)</f>
        <v>52</v>
      </c>
      <c r="M530" s="282">
        <v>0.01</v>
      </c>
      <c r="N530" s="22">
        <f t="shared" ref="N530:N532" si="906">IF(F530=0,"",M530*I530)</f>
        <v>0.62825399999999998</v>
      </c>
      <c r="O530" s="268">
        <f t="shared" ref="O530:O532" si="907">IF(F530=0,"",N530*L530)</f>
        <v>32.669207999999998</v>
      </c>
      <c r="P530" s="23">
        <f t="shared" ref="P530:P532" si="908">IF(F530=0,"",(K530+O530)/I530)</f>
        <v>0.94</v>
      </c>
      <c r="Q530" s="268">
        <f t="shared" ref="Q530:Q532" si="909">IF(F530=0,"",(P530*I530))</f>
        <v>59.055875999999998</v>
      </c>
      <c r="R530" s="118"/>
    </row>
    <row r="531" spans="1:18" x14ac:dyDescent="0.35">
      <c r="A531" s="67" t="str">
        <f>IF(TRIM(G531)&lt;&gt;"",COUNTA(G$11:$G531)&amp;"","")</f>
        <v>334</v>
      </c>
      <c r="B531" s="311"/>
      <c r="C531" s="311"/>
      <c r="D531" s="30"/>
      <c r="E531" s="65" t="s">
        <v>312</v>
      </c>
      <c r="F531" s="69">
        <f>F526*1.67*2</f>
        <v>57.114000000000004</v>
      </c>
      <c r="G531" s="70" t="s">
        <v>163</v>
      </c>
      <c r="H531" s="21">
        <v>0.1</v>
      </c>
      <c r="I531" s="47">
        <f t="shared" si="903"/>
        <v>62.825400000000002</v>
      </c>
      <c r="J531" s="265">
        <v>0.2</v>
      </c>
      <c r="K531" s="268">
        <f t="shared" ref="K531:K532" si="910">IF(F531=0,"",J531*I531)</f>
        <v>12.565080000000002</v>
      </c>
      <c r="L531" s="258">
        <f t="shared" ref="L531:L532" si="911">IF(F531=0,"",L$491)</f>
        <v>52</v>
      </c>
      <c r="M531" s="282">
        <v>3.0000000000000001E-3</v>
      </c>
      <c r="N531" s="22">
        <f t="shared" si="906"/>
        <v>0.18847620000000001</v>
      </c>
      <c r="O531" s="268">
        <f t="shared" si="907"/>
        <v>9.8007624</v>
      </c>
      <c r="P531" s="23">
        <f t="shared" si="908"/>
        <v>0.35600000000000004</v>
      </c>
      <c r="Q531" s="268">
        <f t="shared" si="909"/>
        <v>22.365842400000002</v>
      </c>
      <c r="R531" s="118"/>
    </row>
    <row r="532" spans="1:18" x14ac:dyDescent="0.35">
      <c r="A532" s="67" t="str">
        <f>IF(TRIM(G532)&lt;&gt;"",COUNTA(G$11:$G532)&amp;"","")</f>
        <v>335</v>
      </c>
      <c r="B532" s="311"/>
      <c r="C532" s="311"/>
      <c r="D532" s="30"/>
      <c r="E532" s="65" t="s">
        <v>308</v>
      </c>
      <c r="F532" s="69">
        <f>F526*2*2</f>
        <v>68.400000000000006</v>
      </c>
      <c r="G532" s="70" t="s">
        <v>177</v>
      </c>
      <c r="H532" s="21">
        <v>0.1</v>
      </c>
      <c r="I532" s="47">
        <f t="shared" si="903"/>
        <v>75.240000000000009</v>
      </c>
      <c r="J532" s="265">
        <v>0.2</v>
      </c>
      <c r="K532" s="268">
        <f t="shared" si="910"/>
        <v>15.048000000000002</v>
      </c>
      <c r="L532" s="258">
        <f t="shared" si="911"/>
        <v>52</v>
      </c>
      <c r="M532" s="282">
        <v>1.6E-2</v>
      </c>
      <c r="N532" s="22">
        <f t="shared" si="906"/>
        <v>1.2038400000000002</v>
      </c>
      <c r="O532" s="268">
        <f t="shared" si="907"/>
        <v>62.599680000000014</v>
      </c>
      <c r="P532" s="23">
        <f t="shared" si="908"/>
        <v>1.032</v>
      </c>
      <c r="Q532" s="268">
        <f t="shared" si="909"/>
        <v>77.647680000000008</v>
      </c>
      <c r="R532" s="118"/>
    </row>
    <row r="533" spans="1:18" x14ac:dyDescent="0.35">
      <c r="A533" s="67" t="str">
        <f>IF(TRIM(G533)&lt;&gt;"",COUNTA(G$11:$G533)&amp;"","")</f>
        <v/>
      </c>
      <c r="B533" s="311"/>
      <c r="C533" s="311"/>
      <c r="D533" s="30"/>
      <c r="E533" s="65"/>
      <c r="F533" s="69"/>
      <c r="G533" s="70"/>
      <c r="H533" s="21"/>
      <c r="I533" s="47"/>
      <c r="J533" s="265"/>
      <c r="K533" s="268"/>
      <c r="L533" s="258"/>
      <c r="M533" s="282"/>
      <c r="N533" s="22"/>
      <c r="O533" s="268"/>
      <c r="P533" s="23"/>
      <c r="Q533" s="268"/>
      <c r="R533" s="118"/>
    </row>
    <row r="534" spans="1:18" x14ac:dyDescent="0.35">
      <c r="A534" s="67" t="str">
        <f>IF(TRIM(G534)&lt;&gt;"",COUNTA(G$11:$G534)&amp;"","")</f>
        <v>336</v>
      </c>
      <c r="B534" s="311"/>
      <c r="C534" s="311"/>
      <c r="D534" s="30"/>
      <c r="E534" s="238" t="s">
        <v>310</v>
      </c>
      <c r="F534" s="239">
        <v>17</v>
      </c>
      <c r="G534" s="245" t="s">
        <v>177</v>
      </c>
      <c r="H534" s="21"/>
      <c r="I534" s="47"/>
      <c r="J534" s="265"/>
      <c r="K534" s="268"/>
      <c r="L534" s="258"/>
      <c r="M534" s="282"/>
      <c r="N534" s="22"/>
      <c r="O534" s="268"/>
      <c r="P534" s="23"/>
      <c r="Q534" s="268"/>
      <c r="R534" s="118"/>
    </row>
    <row r="535" spans="1:18" x14ac:dyDescent="0.35">
      <c r="A535" s="67" t="str">
        <f>IF(TRIM(G535)&lt;&gt;"",COUNTA(G$11:$G535)&amp;"","")</f>
        <v>337</v>
      </c>
      <c r="B535" s="311"/>
      <c r="C535" s="311"/>
      <c r="D535" s="30"/>
      <c r="E535" s="65" t="s">
        <v>616</v>
      </c>
      <c r="F535" s="69">
        <v>14</v>
      </c>
      <c r="G535" s="70" t="s">
        <v>211</v>
      </c>
      <c r="H535" s="21">
        <v>0</v>
      </c>
      <c r="I535" s="47">
        <f t="shared" ref="I535:I537" si="912">IF(F535=0,"",F535+(F535*H535))</f>
        <v>14</v>
      </c>
      <c r="J535" s="265">
        <f>8*0.48</f>
        <v>3.84</v>
      </c>
      <c r="K535" s="268">
        <f t="shared" ref="K535:K537" si="913">IF(F535=0,"",J535*I535)</f>
        <v>53.76</v>
      </c>
      <c r="L535" s="258">
        <f t="shared" ref="L535:L537" si="914">IF(F535=0,"",L$491)</f>
        <v>52</v>
      </c>
      <c r="M535" s="282">
        <f>8*0.0475</f>
        <v>0.38</v>
      </c>
      <c r="N535" s="22">
        <f t="shared" ref="N535:N537" si="915">IF(F535=0,"",M535*I535)</f>
        <v>5.32</v>
      </c>
      <c r="O535" s="268">
        <f t="shared" ref="O535:O537" si="916">IF(F535=0,"",N535*L535)</f>
        <v>276.64</v>
      </c>
      <c r="P535" s="23">
        <f t="shared" ref="P535:P537" si="917">IF(F535=0,"",(K535+O535)/I535)</f>
        <v>23.599999999999998</v>
      </c>
      <c r="Q535" s="268">
        <f t="shared" ref="Q535:Q537" si="918">IF(F535=0,"",(P535*I535))</f>
        <v>330.4</v>
      </c>
      <c r="R535" s="118"/>
    </row>
    <row r="536" spans="1:18" x14ac:dyDescent="0.35">
      <c r="A536" s="67" t="str">
        <f>IF(TRIM(G536)&lt;&gt;"",COUNTA(G$11:$G536)&amp;"","")</f>
        <v>338</v>
      </c>
      <c r="B536" s="311"/>
      <c r="C536" s="311"/>
      <c r="D536" s="30"/>
      <c r="E536" s="65" t="s">
        <v>613</v>
      </c>
      <c r="F536" s="69">
        <f>F534*2</f>
        <v>34</v>
      </c>
      <c r="G536" s="70" t="s">
        <v>177</v>
      </c>
      <c r="H536" s="21">
        <v>0.1</v>
      </c>
      <c r="I536" s="47">
        <f t="shared" si="912"/>
        <v>37.4</v>
      </c>
      <c r="J536" s="265">
        <v>0.48</v>
      </c>
      <c r="K536" s="268">
        <f t="shared" si="913"/>
        <v>17.951999999999998</v>
      </c>
      <c r="L536" s="258">
        <f t="shared" si="914"/>
        <v>52</v>
      </c>
      <c r="M536" s="282">
        <v>4.7500000000000001E-2</v>
      </c>
      <c r="N536" s="22">
        <f t="shared" si="915"/>
        <v>1.7765</v>
      </c>
      <c r="O536" s="268">
        <f t="shared" si="916"/>
        <v>92.378</v>
      </c>
      <c r="P536" s="23">
        <f t="shared" si="917"/>
        <v>2.95</v>
      </c>
      <c r="Q536" s="268">
        <f t="shared" si="918"/>
        <v>110.33</v>
      </c>
      <c r="R536" s="118"/>
    </row>
    <row r="537" spans="1:18" x14ac:dyDescent="0.35">
      <c r="A537" s="67" t="str">
        <f>IF(TRIM(G537)&lt;&gt;"",COUNTA(G$11:$G537)&amp;"","")</f>
        <v>339</v>
      </c>
      <c r="B537" s="311"/>
      <c r="C537" s="311"/>
      <c r="D537" s="30"/>
      <c r="E537" s="65" t="s">
        <v>615</v>
      </c>
      <c r="F537" s="69">
        <f>F534</f>
        <v>17</v>
      </c>
      <c r="G537" s="70" t="s">
        <v>177</v>
      </c>
      <c r="H537" s="21">
        <v>0.1</v>
      </c>
      <c r="I537" s="47">
        <f t="shared" si="912"/>
        <v>18.7</v>
      </c>
      <c r="J537" s="265">
        <f>7.72/8</f>
        <v>0.96499999999999997</v>
      </c>
      <c r="K537" s="268">
        <f t="shared" si="913"/>
        <v>18.045499999999997</v>
      </c>
      <c r="L537" s="258">
        <f t="shared" si="914"/>
        <v>52</v>
      </c>
      <c r="M537" s="282">
        <v>4.7500000000000001E-2</v>
      </c>
      <c r="N537" s="22">
        <f t="shared" si="915"/>
        <v>0.88824999999999998</v>
      </c>
      <c r="O537" s="268">
        <f t="shared" si="916"/>
        <v>46.189</v>
      </c>
      <c r="P537" s="23">
        <f t="shared" si="917"/>
        <v>3.4350000000000001</v>
      </c>
      <c r="Q537" s="268">
        <f t="shared" si="918"/>
        <v>64.234499999999997</v>
      </c>
      <c r="R537" s="118"/>
    </row>
    <row r="538" spans="1:18" x14ac:dyDescent="0.35">
      <c r="A538" s="67" t="str">
        <f>IF(TRIM(G538)&lt;&gt;"",COUNTA(G$11:$G538)&amp;"","")</f>
        <v>340</v>
      </c>
      <c r="B538" s="311"/>
      <c r="C538" s="311"/>
      <c r="D538" s="30"/>
      <c r="E538" s="65" t="s">
        <v>307</v>
      </c>
      <c r="F538" s="69">
        <f>F534*6.17</f>
        <v>104.89</v>
      </c>
      <c r="G538" s="70" t="s">
        <v>163</v>
      </c>
      <c r="H538" s="21">
        <v>0.1</v>
      </c>
      <c r="I538" s="47">
        <f t="shared" ref="I538" si="919">IF(F538=0,"",F538+(F538*H538))</f>
        <v>115.379</v>
      </c>
      <c r="J538" s="265">
        <v>0.42</v>
      </c>
      <c r="K538" s="268">
        <f t="shared" ref="K538" si="920">IF(F538=0,"",J538*I538)</f>
        <v>48.459180000000003</v>
      </c>
      <c r="L538" s="258">
        <f t="shared" ref="L538" si="921">IF(F538=0,"",L$491)</f>
        <v>52</v>
      </c>
      <c r="M538" s="282">
        <v>0.01</v>
      </c>
      <c r="N538" s="22">
        <f t="shared" ref="N538" si="922">IF(F538=0,"",M538*I538)</f>
        <v>1.1537900000000001</v>
      </c>
      <c r="O538" s="268">
        <f t="shared" ref="O538" si="923">IF(F538=0,"",N538*L538)</f>
        <v>59.997080000000004</v>
      </c>
      <c r="P538" s="23">
        <f t="shared" ref="P538" si="924">IF(F538=0,"",(K538+O538)/I538)</f>
        <v>0.94000000000000006</v>
      </c>
      <c r="Q538" s="268">
        <f t="shared" ref="Q538" si="925">IF(F538=0,"",(P538*I538))</f>
        <v>108.45626000000001</v>
      </c>
      <c r="R538" s="118"/>
    </row>
    <row r="539" spans="1:18" x14ac:dyDescent="0.35">
      <c r="A539" s="67" t="str">
        <f>IF(TRIM(G539)&lt;&gt;"",COUNTA(G$11:$G539)&amp;"","")</f>
        <v/>
      </c>
      <c r="B539" s="311"/>
      <c r="C539" s="311"/>
      <c r="D539" s="30"/>
      <c r="E539" s="65"/>
      <c r="F539" s="69"/>
      <c r="G539" s="70"/>
      <c r="H539" s="21"/>
      <c r="I539" s="47"/>
      <c r="J539" s="265"/>
      <c r="K539" s="268"/>
      <c r="L539" s="258"/>
      <c r="M539" s="282"/>
      <c r="N539" s="22"/>
      <c r="O539" s="268"/>
      <c r="P539" s="23"/>
      <c r="Q539" s="268"/>
      <c r="R539" s="118"/>
    </row>
    <row r="540" spans="1:18" x14ac:dyDescent="0.35">
      <c r="A540" s="67" t="str">
        <f>IF(TRIM(G540)&lt;&gt;"",COUNTA(G$11:$G540)&amp;"","")</f>
        <v>341</v>
      </c>
      <c r="B540" s="311"/>
      <c r="C540" s="311"/>
      <c r="D540" s="30"/>
      <c r="E540" s="238" t="s">
        <v>311</v>
      </c>
      <c r="F540" s="239">
        <v>10.07</v>
      </c>
      <c r="G540" s="245" t="s">
        <v>177</v>
      </c>
      <c r="H540" s="21"/>
      <c r="I540" s="47"/>
      <c r="J540" s="265"/>
      <c r="K540" s="268"/>
      <c r="L540" s="258"/>
      <c r="M540" s="282"/>
      <c r="N540" s="22"/>
      <c r="O540" s="268"/>
      <c r="P540" s="23"/>
      <c r="Q540" s="268"/>
      <c r="R540" s="118"/>
    </row>
    <row r="541" spans="1:18" x14ac:dyDescent="0.35">
      <c r="A541" s="67" t="str">
        <f>IF(TRIM(G541)&lt;&gt;"",COUNTA(G$11:$G541)&amp;"","")</f>
        <v>342</v>
      </c>
      <c r="B541" s="311"/>
      <c r="C541" s="311"/>
      <c r="D541" s="30"/>
      <c r="E541" s="65" t="s">
        <v>612</v>
      </c>
      <c r="F541" s="69">
        <v>9</v>
      </c>
      <c r="G541" s="70" t="s">
        <v>211</v>
      </c>
      <c r="H541" s="21">
        <v>0</v>
      </c>
      <c r="I541" s="47">
        <f t="shared" ref="I541:I543" si="926">IF(F541=0,"",F541+(F541*H541))</f>
        <v>9</v>
      </c>
      <c r="J541" s="265">
        <f>10*0.48</f>
        <v>4.8</v>
      </c>
      <c r="K541" s="268">
        <f t="shared" ref="K541:K543" si="927">IF(F541=0,"",J541*I541)</f>
        <v>43.199999999999996</v>
      </c>
      <c r="L541" s="258">
        <f t="shared" ref="L541:L543" si="928">IF(F541=0,"",L$491)</f>
        <v>52</v>
      </c>
      <c r="M541" s="282">
        <f>10*0.0475</f>
        <v>0.47499999999999998</v>
      </c>
      <c r="N541" s="22">
        <f t="shared" ref="N541:N543" si="929">IF(F541=0,"",M541*I541)</f>
        <v>4.2749999999999995</v>
      </c>
      <c r="O541" s="268">
        <f t="shared" ref="O541:O543" si="930">IF(F541=0,"",N541*L541)</f>
        <v>222.29999999999998</v>
      </c>
      <c r="P541" s="23">
        <f t="shared" ref="P541:P543" si="931">IF(F541=0,"",(K541+O541)/I541)</f>
        <v>29.5</v>
      </c>
      <c r="Q541" s="268">
        <f t="shared" ref="Q541:Q543" si="932">IF(F541=0,"",(P541*I541))</f>
        <v>265.5</v>
      </c>
      <c r="R541" s="118"/>
    </row>
    <row r="542" spans="1:18" x14ac:dyDescent="0.35">
      <c r="A542" s="67" t="str">
        <f>IF(TRIM(G542)&lt;&gt;"",COUNTA(G$11:$G542)&amp;"","")</f>
        <v>343</v>
      </c>
      <c r="B542" s="311"/>
      <c r="C542" s="311"/>
      <c r="D542" s="30"/>
      <c r="E542" s="65" t="s">
        <v>613</v>
      </c>
      <c r="F542" s="69">
        <f>F540*2</f>
        <v>20.14</v>
      </c>
      <c r="G542" s="70" t="s">
        <v>177</v>
      </c>
      <c r="H542" s="21">
        <v>0.1</v>
      </c>
      <c r="I542" s="47">
        <f t="shared" si="926"/>
        <v>22.154</v>
      </c>
      <c r="J542" s="265">
        <v>0.48</v>
      </c>
      <c r="K542" s="268">
        <f t="shared" si="927"/>
        <v>10.63392</v>
      </c>
      <c r="L542" s="258">
        <f t="shared" si="928"/>
        <v>52</v>
      </c>
      <c r="M542" s="282">
        <v>4.7500000000000001E-2</v>
      </c>
      <c r="N542" s="22">
        <f t="shared" si="929"/>
        <v>1.0523150000000001</v>
      </c>
      <c r="O542" s="268">
        <f t="shared" si="930"/>
        <v>54.720380000000006</v>
      </c>
      <c r="P542" s="23">
        <f t="shared" si="931"/>
        <v>2.9500000000000006</v>
      </c>
      <c r="Q542" s="268">
        <f t="shared" si="932"/>
        <v>65.354300000000009</v>
      </c>
      <c r="R542" s="118"/>
    </row>
    <row r="543" spans="1:18" x14ac:dyDescent="0.35">
      <c r="A543" s="67" t="str">
        <f>IF(TRIM(G543)&lt;&gt;"",COUNTA(G$11:$G543)&amp;"","")</f>
        <v>344</v>
      </c>
      <c r="B543" s="311"/>
      <c r="C543" s="311"/>
      <c r="D543" s="30"/>
      <c r="E543" s="65" t="s">
        <v>614</v>
      </c>
      <c r="F543" s="69">
        <f>F540</f>
        <v>10.07</v>
      </c>
      <c r="G543" s="70" t="s">
        <v>177</v>
      </c>
      <c r="H543" s="21">
        <v>0.1</v>
      </c>
      <c r="I543" s="47">
        <f t="shared" si="926"/>
        <v>11.077</v>
      </c>
      <c r="J543" s="265">
        <f>7.72/8</f>
        <v>0.96499999999999997</v>
      </c>
      <c r="K543" s="268">
        <f t="shared" si="927"/>
        <v>10.689304999999999</v>
      </c>
      <c r="L543" s="258">
        <f t="shared" si="928"/>
        <v>52</v>
      </c>
      <c r="M543" s="282">
        <v>4.7500000000000001E-2</v>
      </c>
      <c r="N543" s="22">
        <f t="shared" si="929"/>
        <v>0.52615750000000006</v>
      </c>
      <c r="O543" s="268">
        <f t="shared" si="930"/>
        <v>27.360190000000003</v>
      </c>
      <c r="P543" s="23">
        <f t="shared" si="931"/>
        <v>3.4350000000000001</v>
      </c>
      <c r="Q543" s="268">
        <f t="shared" si="932"/>
        <v>38.049495</v>
      </c>
      <c r="R543" s="118"/>
    </row>
    <row r="544" spans="1:18" x14ac:dyDescent="0.35">
      <c r="A544" s="67" t="str">
        <f>IF(TRIM(G544)&lt;&gt;"",COUNTA(G$11:$G544)&amp;"","")</f>
        <v>345</v>
      </c>
      <c r="B544" s="311"/>
      <c r="C544" s="311"/>
      <c r="D544" s="30"/>
      <c r="E544" s="65" t="s">
        <v>312</v>
      </c>
      <c r="F544" s="69">
        <f>(F540*9.25)+(F540*8)</f>
        <v>173.70750000000001</v>
      </c>
      <c r="G544" s="70" t="s">
        <v>163</v>
      </c>
      <c r="H544" s="21">
        <v>0.1</v>
      </c>
      <c r="I544" s="47">
        <f t="shared" ref="I544" si="933">IF(F544=0,"",F544+(F544*H544))</f>
        <v>191.07825000000003</v>
      </c>
      <c r="J544" s="265">
        <v>0.42</v>
      </c>
      <c r="K544" s="268">
        <f t="shared" ref="K544:K546" si="934">IF(F544=0,"",J544*I544)</f>
        <v>80.252865000000014</v>
      </c>
      <c r="L544" s="258">
        <f t="shared" ref="L544:L546" si="935">IF(F544=0,"",L$491)</f>
        <v>52</v>
      </c>
      <c r="M544" s="282">
        <v>0.01</v>
      </c>
      <c r="N544" s="22">
        <f t="shared" ref="N544" si="936">IF(F544=0,"",M544*I544)</f>
        <v>1.9107825000000003</v>
      </c>
      <c r="O544" s="268">
        <f t="shared" ref="O544" si="937">IF(F544=0,"",N544*L544)</f>
        <v>99.360690000000019</v>
      </c>
      <c r="P544" s="23">
        <f t="shared" ref="P544" si="938">IF(F544=0,"",(K544+O544)/I544)</f>
        <v>0.94</v>
      </c>
      <c r="Q544" s="268">
        <f t="shared" ref="Q544" si="939">IF(F544=0,"",(P544*I544))</f>
        <v>179.61355500000002</v>
      </c>
      <c r="R544" s="118"/>
    </row>
    <row r="545" spans="1:18" x14ac:dyDescent="0.35">
      <c r="A545" s="67" t="str">
        <f>IF(TRIM(G545)&lt;&gt;"",COUNTA(G$11:$G545)&amp;"","")</f>
        <v>346</v>
      </c>
      <c r="B545" s="311"/>
      <c r="C545" s="311"/>
      <c r="D545" s="30"/>
      <c r="E545" s="65" t="s">
        <v>307</v>
      </c>
      <c r="F545" s="69">
        <f>F540*9.25</f>
        <v>93.147500000000008</v>
      </c>
      <c r="G545" s="70" t="s">
        <v>163</v>
      </c>
      <c r="H545" s="21">
        <v>0.1</v>
      </c>
      <c r="I545" s="47">
        <f t="shared" ref="I545" si="940">IF(F545=0,"",F545+(F545*H545))</f>
        <v>102.46225000000001</v>
      </c>
      <c r="J545" s="265">
        <v>0.2</v>
      </c>
      <c r="K545" s="268">
        <f t="shared" si="934"/>
        <v>20.492450000000005</v>
      </c>
      <c r="L545" s="258">
        <f t="shared" si="935"/>
        <v>52</v>
      </c>
      <c r="M545" s="282">
        <v>3.0000000000000001E-3</v>
      </c>
      <c r="N545" s="22">
        <f t="shared" ref="N545" si="941">IF(F545=0,"",M545*I545)</f>
        <v>0.30738675000000004</v>
      </c>
      <c r="O545" s="268">
        <f t="shared" ref="O545" si="942">IF(F545=0,"",N545*L545)</f>
        <v>15.984111000000002</v>
      </c>
      <c r="P545" s="23">
        <f t="shared" ref="P545" si="943">IF(F545=0,"",(K545+O545)/I545)</f>
        <v>0.35599999999999998</v>
      </c>
      <c r="Q545" s="268">
        <f t="shared" ref="Q545" si="944">IF(F545=0,"",(P545*I545))</f>
        <v>36.476561000000004</v>
      </c>
      <c r="R545" s="118"/>
    </row>
    <row r="546" spans="1:18" x14ac:dyDescent="0.35">
      <c r="A546" s="67" t="str">
        <f>IF(TRIM(G546)&lt;&gt;"",COUNTA(G$11:$G546)&amp;"","")</f>
        <v>347</v>
      </c>
      <c r="B546" s="311"/>
      <c r="C546" s="311"/>
      <c r="D546" s="30"/>
      <c r="E546" s="65" t="s">
        <v>308</v>
      </c>
      <c r="F546" s="69">
        <f>F540*4</f>
        <v>40.28</v>
      </c>
      <c r="G546" s="70" t="s">
        <v>177</v>
      </c>
      <c r="H546" s="21">
        <v>0.1</v>
      </c>
      <c r="I546" s="47">
        <f t="shared" ref="I546" si="945">IF(F546=0,"",F546+(F546*H546))</f>
        <v>44.308</v>
      </c>
      <c r="J546" s="265">
        <v>0.2</v>
      </c>
      <c r="K546" s="268">
        <f t="shared" si="934"/>
        <v>8.861600000000001</v>
      </c>
      <c r="L546" s="258">
        <f t="shared" si="935"/>
        <v>52</v>
      </c>
      <c r="M546" s="282">
        <v>1.6E-2</v>
      </c>
      <c r="N546" s="22">
        <f t="shared" ref="N546" si="946">IF(F546=0,"",M546*I546)</f>
        <v>0.708928</v>
      </c>
      <c r="O546" s="268">
        <f t="shared" ref="O546" si="947">IF(F546=0,"",N546*L546)</f>
        <v>36.864255999999997</v>
      </c>
      <c r="P546" s="23">
        <f t="shared" ref="P546" si="948">IF(F546=0,"",(K546+O546)/I546)</f>
        <v>1.032</v>
      </c>
      <c r="Q546" s="268">
        <f t="shared" ref="Q546" si="949">IF(F546=0,"",(P546*I546))</f>
        <v>45.725856</v>
      </c>
      <c r="R546" s="118"/>
    </row>
    <row r="547" spans="1:18" x14ac:dyDescent="0.35">
      <c r="A547" s="67" t="str">
        <f>IF(TRIM(G547)&lt;&gt;"",COUNTA(G$11:$G547)&amp;"","")</f>
        <v/>
      </c>
      <c r="B547" s="311"/>
      <c r="C547" s="311"/>
      <c r="D547" s="30"/>
      <c r="E547" s="65"/>
      <c r="F547" s="69"/>
      <c r="G547" s="70"/>
      <c r="H547" s="21"/>
      <c r="I547" s="47"/>
      <c r="J547" s="265"/>
      <c r="K547" s="268"/>
      <c r="L547" s="258"/>
      <c r="M547" s="282"/>
      <c r="N547" s="22"/>
      <c r="O547" s="268"/>
      <c r="P547" s="23"/>
      <c r="Q547" s="268"/>
      <c r="R547" s="118"/>
    </row>
    <row r="548" spans="1:18" x14ac:dyDescent="0.35">
      <c r="A548" s="67" t="str">
        <f>IF(TRIM(G548)&lt;&gt;"",COUNTA(G$11:$G548)&amp;"","")</f>
        <v>348</v>
      </c>
      <c r="B548" s="311"/>
      <c r="C548" s="311"/>
      <c r="D548" s="30"/>
      <c r="E548" s="238" t="s">
        <v>311</v>
      </c>
      <c r="F548" s="239">
        <v>6.48</v>
      </c>
      <c r="G548" s="245" t="s">
        <v>177</v>
      </c>
      <c r="H548" s="21"/>
      <c r="I548" s="47"/>
      <c r="J548" s="265"/>
      <c r="K548" s="268"/>
      <c r="L548" s="258"/>
      <c r="M548" s="282"/>
      <c r="N548" s="22"/>
      <c r="O548" s="268"/>
      <c r="P548" s="23"/>
      <c r="Q548" s="268"/>
      <c r="R548" s="118"/>
    </row>
    <row r="549" spans="1:18" x14ac:dyDescent="0.35">
      <c r="A549" s="67" t="str">
        <f>IF(TRIM(G549)&lt;&gt;"",COUNTA(G$11:$G549)&amp;"","")</f>
        <v>349</v>
      </c>
      <c r="B549" s="311"/>
      <c r="C549" s="311"/>
      <c r="D549" s="30"/>
      <c r="E549" s="65" t="s">
        <v>612</v>
      </c>
      <c r="F549" s="69">
        <v>6</v>
      </c>
      <c r="G549" s="70" t="s">
        <v>211</v>
      </c>
      <c r="H549" s="21">
        <v>0</v>
      </c>
      <c r="I549" s="47">
        <f t="shared" ref="I549:I551" si="950">IF(F549=0,"",F549+(F549*H549))</f>
        <v>6</v>
      </c>
      <c r="J549" s="265">
        <f>10*0.48</f>
        <v>4.8</v>
      </c>
      <c r="K549" s="268">
        <f t="shared" ref="K549:K551" si="951">IF(F549=0,"",J549*I549)</f>
        <v>28.799999999999997</v>
      </c>
      <c r="L549" s="258">
        <f t="shared" ref="L549:L551" si="952">IF(F549=0,"",L$491)</f>
        <v>52</v>
      </c>
      <c r="M549" s="282">
        <f>10*0.0475</f>
        <v>0.47499999999999998</v>
      </c>
      <c r="N549" s="22">
        <f t="shared" ref="N549:N551" si="953">IF(F549=0,"",M549*I549)</f>
        <v>2.8499999999999996</v>
      </c>
      <c r="O549" s="268">
        <f t="shared" ref="O549:O551" si="954">IF(F549=0,"",N549*L549)</f>
        <v>148.19999999999999</v>
      </c>
      <c r="P549" s="23">
        <f t="shared" ref="P549:P551" si="955">IF(F549=0,"",(K549+O549)/I549)</f>
        <v>29.5</v>
      </c>
      <c r="Q549" s="268">
        <f t="shared" ref="Q549:Q551" si="956">IF(F549=0,"",(P549*I549))</f>
        <v>177</v>
      </c>
      <c r="R549" s="118"/>
    </row>
    <row r="550" spans="1:18" x14ac:dyDescent="0.35">
      <c r="A550" s="67" t="str">
        <f>IF(TRIM(G550)&lt;&gt;"",COUNTA(G$11:$G550)&amp;"","")</f>
        <v>350</v>
      </c>
      <c r="B550" s="311"/>
      <c r="C550" s="311"/>
      <c r="D550" s="30"/>
      <c r="E550" s="65" t="s">
        <v>613</v>
      </c>
      <c r="F550" s="69">
        <f>F548*2</f>
        <v>12.96</v>
      </c>
      <c r="G550" s="70" t="s">
        <v>177</v>
      </c>
      <c r="H550" s="21">
        <v>0.1</v>
      </c>
      <c r="I550" s="47">
        <f t="shared" si="950"/>
        <v>14.256</v>
      </c>
      <c r="J550" s="265">
        <v>0.48</v>
      </c>
      <c r="K550" s="268">
        <f t="shared" si="951"/>
        <v>6.8428800000000001</v>
      </c>
      <c r="L550" s="258">
        <f t="shared" si="952"/>
        <v>52</v>
      </c>
      <c r="M550" s="282">
        <v>4.7500000000000001E-2</v>
      </c>
      <c r="N550" s="22">
        <f t="shared" si="953"/>
        <v>0.67715999999999998</v>
      </c>
      <c r="O550" s="268">
        <f t="shared" si="954"/>
        <v>35.212319999999998</v>
      </c>
      <c r="P550" s="23">
        <f t="shared" si="955"/>
        <v>2.9499999999999997</v>
      </c>
      <c r="Q550" s="268">
        <f t="shared" si="956"/>
        <v>42.055199999999999</v>
      </c>
      <c r="R550" s="118"/>
    </row>
    <row r="551" spans="1:18" x14ac:dyDescent="0.35">
      <c r="A551" s="67" t="str">
        <f>IF(TRIM(G551)&lt;&gt;"",COUNTA(G$11:$G551)&amp;"","")</f>
        <v>351</v>
      </c>
      <c r="B551" s="311"/>
      <c r="C551" s="311"/>
      <c r="D551" s="30"/>
      <c r="E551" s="65" t="s">
        <v>614</v>
      </c>
      <c r="F551" s="69">
        <f>F548</f>
        <v>6.48</v>
      </c>
      <c r="G551" s="70" t="s">
        <v>177</v>
      </c>
      <c r="H551" s="21">
        <v>0.1</v>
      </c>
      <c r="I551" s="47">
        <f t="shared" si="950"/>
        <v>7.1280000000000001</v>
      </c>
      <c r="J551" s="265">
        <f>7.72/8</f>
        <v>0.96499999999999997</v>
      </c>
      <c r="K551" s="268">
        <f t="shared" si="951"/>
        <v>6.87852</v>
      </c>
      <c r="L551" s="258">
        <f t="shared" si="952"/>
        <v>52</v>
      </c>
      <c r="M551" s="282">
        <v>4.7500000000000001E-2</v>
      </c>
      <c r="N551" s="22">
        <f t="shared" si="953"/>
        <v>0.33857999999999999</v>
      </c>
      <c r="O551" s="268">
        <f t="shared" si="954"/>
        <v>17.606159999999999</v>
      </c>
      <c r="P551" s="23">
        <f t="shared" si="955"/>
        <v>3.4349999999999996</v>
      </c>
      <c r="Q551" s="268">
        <f t="shared" si="956"/>
        <v>24.484679999999997</v>
      </c>
      <c r="R551" s="118"/>
    </row>
    <row r="552" spans="1:18" x14ac:dyDescent="0.35">
      <c r="A552" s="67" t="str">
        <f>IF(TRIM(G552)&lt;&gt;"",COUNTA(G$11:$G552)&amp;"","")</f>
        <v>352</v>
      </c>
      <c r="B552" s="311"/>
      <c r="C552" s="311"/>
      <c r="D552" s="30"/>
      <c r="E552" s="65" t="s">
        <v>312</v>
      </c>
      <c r="F552" s="69">
        <f>(F548*9.25)+(F548*7.5)</f>
        <v>108.54</v>
      </c>
      <c r="G552" s="70" t="s">
        <v>163</v>
      </c>
      <c r="H552" s="21">
        <v>0.1</v>
      </c>
      <c r="I552" s="47">
        <f t="shared" ref="I552:I554" si="957">IF(F552=0,"",F552+(F552*H552))</f>
        <v>119.39400000000001</v>
      </c>
      <c r="J552" s="265">
        <v>0.42</v>
      </c>
      <c r="K552" s="268">
        <f t="shared" ref="K552:K554" si="958">IF(F552=0,"",J552*I552)</f>
        <v>50.145479999999999</v>
      </c>
      <c r="L552" s="258">
        <f t="shared" ref="L552:L554" si="959">IF(F552=0,"",L$491)</f>
        <v>52</v>
      </c>
      <c r="M552" s="282">
        <v>0.01</v>
      </c>
      <c r="N552" s="22">
        <f t="shared" ref="N552:N554" si="960">IF(F552=0,"",M552*I552)</f>
        <v>1.19394</v>
      </c>
      <c r="O552" s="268">
        <f t="shared" ref="O552:O554" si="961">IF(F552=0,"",N552*L552)</f>
        <v>62.084879999999998</v>
      </c>
      <c r="P552" s="23">
        <f t="shared" ref="P552:P554" si="962">IF(F552=0,"",(K552+O552)/I552)</f>
        <v>0.93999999999999984</v>
      </c>
      <c r="Q552" s="268">
        <f t="shared" ref="Q552:Q554" si="963">IF(F552=0,"",(P552*I552))</f>
        <v>112.23035999999999</v>
      </c>
      <c r="R552" s="118"/>
    </row>
    <row r="553" spans="1:18" x14ac:dyDescent="0.35">
      <c r="A553" s="67" t="str">
        <f>IF(TRIM(G553)&lt;&gt;"",COUNTA(G$11:$G553)&amp;"","")</f>
        <v>353</v>
      </c>
      <c r="B553" s="311"/>
      <c r="C553" s="311"/>
      <c r="D553" s="30"/>
      <c r="E553" s="65" t="s">
        <v>307</v>
      </c>
      <c r="F553" s="69">
        <f>F548*9.25</f>
        <v>59.940000000000005</v>
      </c>
      <c r="G553" s="70" t="s">
        <v>163</v>
      </c>
      <c r="H553" s="21">
        <v>0.1</v>
      </c>
      <c r="I553" s="47">
        <f t="shared" si="957"/>
        <v>65.934000000000012</v>
      </c>
      <c r="J553" s="265">
        <v>0.2</v>
      </c>
      <c r="K553" s="268">
        <f t="shared" si="958"/>
        <v>13.186800000000003</v>
      </c>
      <c r="L553" s="258">
        <f t="shared" si="959"/>
        <v>52</v>
      </c>
      <c r="M553" s="282">
        <v>3.0000000000000001E-3</v>
      </c>
      <c r="N553" s="22">
        <f t="shared" si="960"/>
        <v>0.19780200000000003</v>
      </c>
      <c r="O553" s="268">
        <f t="shared" si="961"/>
        <v>10.285704000000003</v>
      </c>
      <c r="P553" s="23">
        <f t="shared" si="962"/>
        <v>0.35600000000000004</v>
      </c>
      <c r="Q553" s="268">
        <f t="shared" si="963"/>
        <v>23.472504000000008</v>
      </c>
      <c r="R553" s="118"/>
    </row>
    <row r="554" spans="1:18" x14ac:dyDescent="0.35">
      <c r="A554" s="67" t="str">
        <f>IF(TRIM(G554)&lt;&gt;"",COUNTA(G$11:$G554)&amp;"","")</f>
        <v>354</v>
      </c>
      <c r="B554" s="311"/>
      <c r="C554" s="311"/>
      <c r="D554" s="30"/>
      <c r="E554" s="65" t="s">
        <v>308</v>
      </c>
      <c r="F554" s="69">
        <f>F548*4</f>
        <v>25.92</v>
      </c>
      <c r="G554" s="70" t="s">
        <v>177</v>
      </c>
      <c r="H554" s="21">
        <v>0.1</v>
      </c>
      <c r="I554" s="47">
        <f t="shared" si="957"/>
        <v>28.512</v>
      </c>
      <c r="J554" s="265">
        <v>0.2</v>
      </c>
      <c r="K554" s="268">
        <f t="shared" si="958"/>
        <v>5.7024000000000008</v>
      </c>
      <c r="L554" s="258">
        <f t="shared" si="959"/>
        <v>52</v>
      </c>
      <c r="M554" s="282">
        <v>1.6E-2</v>
      </c>
      <c r="N554" s="22">
        <f t="shared" si="960"/>
        <v>0.45619200000000004</v>
      </c>
      <c r="O554" s="268">
        <f t="shared" si="961"/>
        <v>23.721984000000003</v>
      </c>
      <c r="P554" s="23">
        <f t="shared" si="962"/>
        <v>1.032</v>
      </c>
      <c r="Q554" s="268">
        <f t="shared" si="963"/>
        <v>29.424384</v>
      </c>
      <c r="R554" s="118"/>
    </row>
    <row r="555" spans="1:18" x14ac:dyDescent="0.35">
      <c r="A555" s="67" t="str">
        <f>IF(TRIM(G555)&lt;&gt;"",COUNTA(G$11:$G555)&amp;"","")</f>
        <v/>
      </c>
      <c r="B555" s="311"/>
      <c r="C555" s="311"/>
      <c r="D555" s="30"/>
      <c r="E555" s="65"/>
      <c r="F555" s="69"/>
      <c r="G555" s="70"/>
      <c r="H555" s="21"/>
      <c r="I555" s="47"/>
      <c r="J555" s="265"/>
      <c r="K555" s="268"/>
      <c r="L555" s="258"/>
      <c r="M555" s="282"/>
      <c r="N555" s="22"/>
      <c r="O555" s="268"/>
      <c r="P555" s="23"/>
      <c r="Q555" s="268"/>
      <c r="R555" s="118"/>
    </row>
    <row r="556" spans="1:18" x14ac:dyDescent="0.35">
      <c r="A556" s="67" t="str">
        <f>IF(TRIM(G556)&lt;&gt;"",COUNTA(G$11:$G556)&amp;"","")</f>
        <v>355</v>
      </c>
      <c r="B556" s="311"/>
      <c r="C556" s="311"/>
      <c r="D556" s="30"/>
      <c r="E556" s="238" t="s">
        <v>311</v>
      </c>
      <c r="F556" s="239">
        <v>18.68</v>
      </c>
      <c r="G556" s="245" t="s">
        <v>177</v>
      </c>
      <c r="H556" s="21"/>
      <c r="I556" s="47"/>
      <c r="J556" s="265"/>
      <c r="K556" s="268"/>
      <c r="L556" s="258"/>
      <c r="M556" s="282"/>
      <c r="N556" s="22"/>
      <c r="O556" s="268"/>
      <c r="P556" s="23"/>
      <c r="Q556" s="268"/>
      <c r="R556" s="118"/>
    </row>
    <row r="557" spans="1:18" x14ac:dyDescent="0.35">
      <c r="A557" s="67" t="str">
        <f>IF(TRIM(G557)&lt;&gt;"",COUNTA(G$11:$G557)&amp;"","")</f>
        <v>356</v>
      </c>
      <c r="B557" s="311"/>
      <c r="C557" s="311"/>
      <c r="D557" s="30"/>
      <c r="E557" s="65" t="s">
        <v>612</v>
      </c>
      <c r="F557" s="69">
        <v>15</v>
      </c>
      <c r="G557" s="70" t="s">
        <v>211</v>
      </c>
      <c r="H557" s="21">
        <v>0</v>
      </c>
      <c r="I557" s="47">
        <f t="shared" ref="I557:I559" si="964">IF(F557=0,"",F557+(F557*H557))</f>
        <v>15</v>
      </c>
      <c r="J557" s="265">
        <f>10*0.48</f>
        <v>4.8</v>
      </c>
      <c r="K557" s="268">
        <f t="shared" ref="K557:K559" si="965">IF(F557=0,"",J557*I557)</f>
        <v>72</v>
      </c>
      <c r="L557" s="258">
        <f t="shared" ref="L557:L559" si="966">IF(F557=0,"",L$491)</f>
        <v>52</v>
      </c>
      <c r="M557" s="282">
        <f>10*0.0475</f>
        <v>0.47499999999999998</v>
      </c>
      <c r="N557" s="22">
        <f t="shared" ref="N557:N559" si="967">IF(F557=0,"",M557*I557)</f>
        <v>7.125</v>
      </c>
      <c r="O557" s="268">
        <f t="shared" ref="O557:O559" si="968">IF(F557=0,"",N557*L557)</f>
        <v>370.5</v>
      </c>
      <c r="P557" s="23">
        <f t="shared" ref="P557:P559" si="969">IF(F557=0,"",(K557+O557)/I557)</f>
        <v>29.5</v>
      </c>
      <c r="Q557" s="268">
        <f t="shared" ref="Q557:Q559" si="970">IF(F557=0,"",(P557*I557))</f>
        <v>442.5</v>
      </c>
      <c r="R557" s="118"/>
    </row>
    <row r="558" spans="1:18" x14ac:dyDescent="0.35">
      <c r="A558" s="67" t="str">
        <f>IF(TRIM(G558)&lt;&gt;"",COUNTA(G$11:$G558)&amp;"","")</f>
        <v>357</v>
      </c>
      <c r="B558" s="311"/>
      <c r="C558" s="311"/>
      <c r="D558" s="30"/>
      <c r="E558" s="65" t="s">
        <v>613</v>
      </c>
      <c r="F558" s="69">
        <f>F556*2</f>
        <v>37.36</v>
      </c>
      <c r="G558" s="70" t="s">
        <v>177</v>
      </c>
      <c r="H558" s="21">
        <v>0.1</v>
      </c>
      <c r="I558" s="47">
        <f t="shared" si="964"/>
        <v>41.095999999999997</v>
      </c>
      <c r="J558" s="265">
        <v>0.48</v>
      </c>
      <c r="K558" s="268">
        <f t="shared" si="965"/>
        <v>19.726079999999996</v>
      </c>
      <c r="L558" s="258">
        <f t="shared" si="966"/>
        <v>52</v>
      </c>
      <c r="M558" s="282">
        <v>4.7500000000000001E-2</v>
      </c>
      <c r="N558" s="22">
        <f t="shared" si="967"/>
        <v>1.9520599999999999</v>
      </c>
      <c r="O558" s="268">
        <f t="shared" si="968"/>
        <v>101.50712</v>
      </c>
      <c r="P558" s="23">
        <f t="shared" si="969"/>
        <v>2.95</v>
      </c>
      <c r="Q558" s="268">
        <f t="shared" si="970"/>
        <v>121.2332</v>
      </c>
      <c r="R558" s="118"/>
    </row>
    <row r="559" spans="1:18" x14ac:dyDescent="0.35">
      <c r="A559" s="67" t="str">
        <f>IF(TRIM(G559)&lt;&gt;"",COUNTA(G$11:$G559)&amp;"","")</f>
        <v>358</v>
      </c>
      <c r="B559" s="311"/>
      <c r="C559" s="311"/>
      <c r="D559" s="30"/>
      <c r="E559" s="65" t="s">
        <v>614</v>
      </c>
      <c r="F559" s="69">
        <f>F556</f>
        <v>18.68</v>
      </c>
      <c r="G559" s="70" t="s">
        <v>177</v>
      </c>
      <c r="H559" s="21">
        <v>0.1</v>
      </c>
      <c r="I559" s="47">
        <f t="shared" si="964"/>
        <v>20.547999999999998</v>
      </c>
      <c r="J559" s="265">
        <f>7.72/8</f>
        <v>0.96499999999999997</v>
      </c>
      <c r="K559" s="268">
        <f t="shared" si="965"/>
        <v>19.828819999999997</v>
      </c>
      <c r="L559" s="258">
        <f t="shared" si="966"/>
        <v>52</v>
      </c>
      <c r="M559" s="282">
        <v>4.7500000000000001E-2</v>
      </c>
      <c r="N559" s="22">
        <f t="shared" si="967"/>
        <v>0.97602999999999995</v>
      </c>
      <c r="O559" s="268">
        <f t="shared" si="968"/>
        <v>50.75356</v>
      </c>
      <c r="P559" s="23">
        <f t="shared" si="969"/>
        <v>3.4350000000000005</v>
      </c>
      <c r="Q559" s="268">
        <f t="shared" si="970"/>
        <v>70.582380000000001</v>
      </c>
      <c r="R559" s="118"/>
    </row>
    <row r="560" spans="1:18" x14ac:dyDescent="0.35">
      <c r="A560" s="67" t="str">
        <f>IF(TRIM(G560)&lt;&gt;"",COUNTA(G$11:$G560)&amp;"","")</f>
        <v>359</v>
      </c>
      <c r="B560" s="311"/>
      <c r="C560" s="311"/>
      <c r="D560" s="30"/>
      <c r="E560" s="65" t="s">
        <v>314</v>
      </c>
      <c r="F560" s="69">
        <f>F556*6.58</f>
        <v>122.9144</v>
      </c>
      <c r="G560" s="70" t="s">
        <v>163</v>
      </c>
      <c r="H560" s="21">
        <v>0.1</v>
      </c>
      <c r="I560" s="47">
        <f t="shared" ref="I560" si="971">IF(F560=0,"",F560+(F560*H560))</f>
        <v>135.20583999999999</v>
      </c>
      <c r="J560" s="265">
        <v>0.52</v>
      </c>
      <c r="K560" s="268">
        <f t="shared" ref="K560:K562" si="972">IF(F560=0,"",J560*I560)</f>
        <v>70.307036800000006</v>
      </c>
      <c r="L560" s="258">
        <f t="shared" ref="L560:L562" si="973">IF(F560=0,"",L$491)</f>
        <v>52</v>
      </c>
      <c r="M560" s="282">
        <v>1.6E-2</v>
      </c>
      <c r="N560" s="22">
        <f t="shared" ref="N560" si="974">IF(F560=0,"",M560*I560)</f>
        <v>2.1632934399999999</v>
      </c>
      <c r="O560" s="268">
        <f t="shared" ref="O560" si="975">IF(F560=0,"",N560*L560)</f>
        <v>112.49125887999999</v>
      </c>
      <c r="P560" s="23">
        <f t="shared" ref="P560" si="976">IF(F560=0,"",(K560+O560)/I560)</f>
        <v>1.3520000000000001</v>
      </c>
      <c r="Q560" s="268">
        <f t="shared" ref="Q560" si="977">IF(F560=0,"",(P560*I560))</f>
        <v>182.79829568</v>
      </c>
      <c r="R560" s="118"/>
    </row>
    <row r="561" spans="1:18" x14ac:dyDescent="0.35">
      <c r="A561" s="67" t="str">
        <f>IF(TRIM(G561)&lt;&gt;"",COUNTA(G$11:$G561)&amp;"","")</f>
        <v>360</v>
      </c>
      <c r="B561" s="311"/>
      <c r="C561" s="311"/>
      <c r="D561" s="30"/>
      <c r="E561" s="65" t="s">
        <v>312</v>
      </c>
      <c r="F561" s="69">
        <f>F556*9.25</f>
        <v>172.79</v>
      </c>
      <c r="G561" s="70" t="s">
        <v>163</v>
      </c>
      <c r="H561" s="21">
        <v>0.1</v>
      </c>
      <c r="I561" s="47">
        <f t="shared" ref="I561" si="978">IF(F561=0,"",F561+(F561*H561))</f>
        <v>190.06899999999999</v>
      </c>
      <c r="J561" s="265">
        <v>0.2</v>
      </c>
      <c r="K561" s="268">
        <f t="shared" si="972"/>
        <v>38.013799999999996</v>
      </c>
      <c r="L561" s="258">
        <f t="shared" si="973"/>
        <v>52</v>
      </c>
      <c r="M561" s="282">
        <v>3.0000000000000001E-3</v>
      </c>
      <c r="N561" s="22">
        <f t="shared" ref="N561" si="979">IF(F561=0,"",M561*I561)</f>
        <v>0.57020700000000002</v>
      </c>
      <c r="O561" s="268">
        <f t="shared" ref="O561" si="980">IF(F561=0,"",N561*L561)</f>
        <v>29.650764000000002</v>
      </c>
      <c r="P561" s="23">
        <f t="shared" ref="P561" si="981">IF(F561=0,"",(K561+O561)/I561)</f>
        <v>0.35600000000000004</v>
      </c>
      <c r="Q561" s="268">
        <f t="shared" ref="Q561" si="982">IF(F561=0,"",(P561*I561))</f>
        <v>67.664563999999999</v>
      </c>
      <c r="R561" s="118"/>
    </row>
    <row r="562" spans="1:18" x14ac:dyDescent="0.35">
      <c r="A562" s="67" t="str">
        <f>IF(TRIM(G562)&lt;&gt;"",COUNTA(G$11:$G562)&amp;"","")</f>
        <v>361</v>
      </c>
      <c r="B562" s="311"/>
      <c r="C562" s="311"/>
      <c r="D562" s="30"/>
      <c r="E562" s="65" t="s">
        <v>308</v>
      </c>
      <c r="F562" s="69">
        <f>F556*4</f>
        <v>74.72</v>
      </c>
      <c r="G562" s="70" t="s">
        <v>177</v>
      </c>
      <c r="H562" s="21">
        <v>0.1</v>
      </c>
      <c r="I562" s="47">
        <f t="shared" ref="I562" si="983">IF(F562=0,"",F562+(F562*H562))</f>
        <v>82.191999999999993</v>
      </c>
      <c r="J562" s="265">
        <v>0.2</v>
      </c>
      <c r="K562" s="268">
        <f t="shared" si="972"/>
        <v>16.438399999999998</v>
      </c>
      <c r="L562" s="258">
        <f t="shared" si="973"/>
        <v>52</v>
      </c>
      <c r="M562" s="282">
        <v>1.6E-2</v>
      </c>
      <c r="N562" s="22">
        <f t="shared" ref="N562" si="984">IF(F562=0,"",M562*I562)</f>
        <v>1.315072</v>
      </c>
      <c r="O562" s="268">
        <f t="shared" ref="O562" si="985">IF(F562=0,"",N562*L562)</f>
        <v>68.383744000000007</v>
      </c>
      <c r="P562" s="23">
        <f t="shared" ref="P562" si="986">IF(F562=0,"",(K562+O562)/I562)</f>
        <v>1.0320000000000003</v>
      </c>
      <c r="Q562" s="268">
        <f t="shared" ref="Q562" si="987">IF(F562=0,"",(P562*I562))</f>
        <v>84.822144000000009</v>
      </c>
      <c r="R562" s="118"/>
    </row>
    <row r="563" spans="1:18" x14ac:dyDescent="0.35">
      <c r="A563" s="67" t="str">
        <f>IF(TRIM(G563)&lt;&gt;"",COUNTA(G$11:$G563)&amp;"","")</f>
        <v/>
      </c>
      <c r="B563" s="311"/>
      <c r="C563" s="311"/>
      <c r="D563" s="30"/>
      <c r="E563" s="65"/>
      <c r="F563" s="69"/>
      <c r="G563" s="70"/>
      <c r="H563" s="21"/>
      <c r="I563" s="47"/>
      <c r="J563" s="265"/>
      <c r="K563" s="268"/>
      <c r="L563" s="258"/>
      <c r="M563" s="282"/>
      <c r="N563" s="22"/>
      <c r="O563" s="268"/>
      <c r="P563" s="23"/>
      <c r="Q563" s="268"/>
      <c r="R563" s="118"/>
    </row>
    <row r="564" spans="1:18" x14ac:dyDescent="0.35">
      <c r="A564" s="67" t="str">
        <f>IF(TRIM(G564)&lt;&gt;"",COUNTA(G$11:$G564)&amp;"","")</f>
        <v>362</v>
      </c>
      <c r="B564" s="311"/>
      <c r="C564" s="311"/>
      <c r="D564" s="30"/>
      <c r="E564" s="238" t="s">
        <v>311</v>
      </c>
      <c r="F564" s="239">
        <v>4.5199999999999996</v>
      </c>
      <c r="G564" s="245" t="s">
        <v>177</v>
      </c>
      <c r="H564" s="21"/>
      <c r="I564" s="47"/>
      <c r="J564" s="265"/>
      <c r="K564" s="268"/>
      <c r="L564" s="258"/>
      <c r="M564" s="282"/>
      <c r="N564" s="22"/>
      <c r="O564" s="268"/>
      <c r="P564" s="23"/>
      <c r="Q564" s="268"/>
      <c r="R564" s="118"/>
    </row>
    <row r="565" spans="1:18" x14ac:dyDescent="0.35">
      <c r="A565" s="67" t="str">
        <f>IF(TRIM(G565)&lt;&gt;"",COUNTA(G$11:$G565)&amp;"","")</f>
        <v>363</v>
      </c>
      <c r="B565" s="311"/>
      <c r="C565" s="311"/>
      <c r="D565" s="30"/>
      <c r="E565" s="65" t="s">
        <v>612</v>
      </c>
      <c r="F565" s="69">
        <v>4</v>
      </c>
      <c r="G565" s="70" t="s">
        <v>211</v>
      </c>
      <c r="H565" s="21">
        <v>0</v>
      </c>
      <c r="I565" s="47">
        <f t="shared" ref="I565:I567" si="988">IF(F565=0,"",F565+(F565*H565))</f>
        <v>4</v>
      </c>
      <c r="J565" s="265">
        <f>10*0.48</f>
        <v>4.8</v>
      </c>
      <c r="K565" s="268">
        <f t="shared" ref="K565:K567" si="989">IF(F565=0,"",J565*I565)</f>
        <v>19.2</v>
      </c>
      <c r="L565" s="258">
        <f t="shared" ref="L565:L567" si="990">IF(F565=0,"",L$491)</f>
        <v>52</v>
      </c>
      <c r="M565" s="282">
        <f>10*0.0475</f>
        <v>0.47499999999999998</v>
      </c>
      <c r="N565" s="22">
        <f t="shared" ref="N565:N567" si="991">IF(F565=0,"",M565*I565)</f>
        <v>1.9</v>
      </c>
      <c r="O565" s="268">
        <f t="shared" ref="O565:O567" si="992">IF(F565=0,"",N565*L565)</f>
        <v>98.8</v>
      </c>
      <c r="P565" s="23">
        <f t="shared" ref="P565:P567" si="993">IF(F565=0,"",(K565+O565)/I565)</f>
        <v>29.5</v>
      </c>
      <c r="Q565" s="268">
        <f t="shared" ref="Q565:Q567" si="994">IF(F565=0,"",(P565*I565))</f>
        <v>118</v>
      </c>
      <c r="R565" s="118"/>
    </row>
    <row r="566" spans="1:18" x14ac:dyDescent="0.35">
      <c r="A566" s="67" t="str">
        <f>IF(TRIM(G566)&lt;&gt;"",COUNTA(G$11:$G566)&amp;"","")</f>
        <v>364</v>
      </c>
      <c r="B566" s="311"/>
      <c r="C566" s="311"/>
      <c r="D566" s="30"/>
      <c r="E566" s="65" t="s">
        <v>613</v>
      </c>
      <c r="F566" s="69">
        <f>F564*2</f>
        <v>9.0399999999999991</v>
      </c>
      <c r="G566" s="70" t="s">
        <v>177</v>
      </c>
      <c r="H566" s="21">
        <v>0.1</v>
      </c>
      <c r="I566" s="47">
        <f t="shared" si="988"/>
        <v>9.9439999999999991</v>
      </c>
      <c r="J566" s="265">
        <v>0.48</v>
      </c>
      <c r="K566" s="268">
        <f t="shared" si="989"/>
        <v>4.7731199999999996</v>
      </c>
      <c r="L566" s="258">
        <f t="shared" si="990"/>
        <v>52</v>
      </c>
      <c r="M566" s="282">
        <v>4.7500000000000001E-2</v>
      </c>
      <c r="N566" s="22">
        <f t="shared" si="991"/>
        <v>0.47233999999999998</v>
      </c>
      <c r="O566" s="268">
        <f t="shared" si="992"/>
        <v>24.561679999999999</v>
      </c>
      <c r="P566" s="23">
        <f t="shared" si="993"/>
        <v>2.95</v>
      </c>
      <c r="Q566" s="268">
        <f t="shared" si="994"/>
        <v>29.334799999999998</v>
      </c>
      <c r="R566" s="118"/>
    </row>
    <row r="567" spans="1:18" x14ac:dyDescent="0.35">
      <c r="A567" s="67" t="str">
        <f>IF(TRIM(G567)&lt;&gt;"",COUNTA(G$11:$G567)&amp;"","")</f>
        <v>365</v>
      </c>
      <c r="B567" s="311"/>
      <c r="C567" s="311"/>
      <c r="D567" s="30"/>
      <c r="E567" s="65" t="s">
        <v>614</v>
      </c>
      <c r="F567" s="69">
        <f>F564</f>
        <v>4.5199999999999996</v>
      </c>
      <c r="G567" s="70" t="s">
        <v>177</v>
      </c>
      <c r="H567" s="21">
        <v>0.1</v>
      </c>
      <c r="I567" s="47">
        <f t="shared" si="988"/>
        <v>4.9719999999999995</v>
      </c>
      <c r="J567" s="265">
        <f>7.72/8</f>
        <v>0.96499999999999997</v>
      </c>
      <c r="K567" s="268">
        <f t="shared" si="989"/>
        <v>4.797979999999999</v>
      </c>
      <c r="L567" s="258">
        <f t="shared" si="990"/>
        <v>52</v>
      </c>
      <c r="M567" s="282">
        <v>4.7500000000000001E-2</v>
      </c>
      <c r="N567" s="22">
        <f t="shared" si="991"/>
        <v>0.23616999999999999</v>
      </c>
      <c r="O567" s="268">
        <f t="shared" si="992"/>
        <v>12.28084</v>
      </c>
      <c r="P567" s="23">
        <f t="shared" si="993"/>
        <v>3.4350000000000005</v>
      </c>
      <c r="Q567" s="268">
        <f t="shared" si="994"/>
        <v>17.07882</v>
      </c>
      <c r="R567" s="118"/>
    </row>
    <row r="568" spans="1:18" x14ac:dyDescent="0.35">
      <c r="A568" s="67" t="str">
        <f>IF(TRIM(G568)&lt;&gt;"",COUNTA(G$11:$G568)&amp;"","")</f>
        <v>366</v>
      </c>
      <c r="B568" s="311"/>
      <c r="C568" s="311"/>
      <c r="D568" s="30"/>
      <c r="E568" s="65" t="s">
        <v>312</v>
      </c>
      <c r="F568" s="69">
        <f>F564*9.25</f>
        <v>41.809999999999995</v>
      </c>
      <c r="G568" s="70" t="s">
        <v>163</v>
      </c>
      <c r="H568" s="21">
        <v>0.1</v>
      </c>
      <c r="I568" s="47">
        <f t="shared" ref="I568:I569" si="995">IF(F568=0,"",F568+(F568*H568))</f>
        <v>45.990999999999993</v>
      </c>
      <c r="J568" s="265">
        <v>0.2</v>
      </c>
      <c r="K568" s="268">
        <f t="shared" ref="K568:K569" si="996">IF(F568=0,"",J568*I568)</f>
        <v>9.1981999999999982</v>
      </c>
      <c r="L568" s="258">
        <f t="shared" ref="L568:L569" si="997">IF(F568=0,"",L$491)</f>
        <v>52</v>
      </c>
      <c r="M568" s="282">
        <v>3.0000000000000001E-3</v>
      </c>
      <c r="N568" s="22">
        <f t="shared" ref="N568:N569" si="998">IF(F568=0,"",M568*I568)</f>
        <v>0.13797299999999998</v>
      </c>
      <c r="O568" s="268">
        <f t="shared" ref="O568:O569" si="999">IF(F568=0,"",N568*L568)</f>
        <v>7.1745959999999993</v>
      </c>
      <c r="P568" s="23">
        <f t="shared" ref="P568:P569" si="1000">IF(F568=0,"",(K568+O568)/I568)</f>
        <v>0.35599999999999998</v>
      </c>
      <c r="Q568" s="268">
        <f t="shared" ref="Q568:Q569" si="1001">IF(F568=0,"",(P568*I568))</f>
        <v>16.372795999999997</v>
      </c>
      <c r="R568" s="118"/>
    </row>
    <row r="569" spans="1:18" x14ac:dyDescent="0.35">
      <c r="A569" s="67" t="str">
        <f>IF(TRIM(G569)&lt;&gt;"",COUNTA(G$11:$G569)&amp;"","")</f>
        <v>367</v>
      </c>
      <c r="B569" s="311"/>
      <c r="C569" s="311"/>
      <c r="D569" s="30"/>
      <c r="E569" s="65" t="s">
        <v>308</v>
      </c>
      <c r="F569" s="69">
        <f>F564*2</f>
        <v>9.0399999999999991</v>
      </c>
      <c r="G569" s="70" t="s">
        <v>177</v>
      </c>
      <c r="H569" s="21">
        <v>0.1</v>
      </c>
      <c r="I569" s="47">
        <f t="shared" si="995"/>
        <v>9.9439999999999991</v>
      </c>
      <c r="J569" s="265">
        <v>0.2</v>
      </c>
      <c r="K569" s="268">
        <f t="shared" si="996"/>
        <v>1.9887999999999999</v>
      </c>
      <c r="L569" s="258">
        <f t="shared" si="997"/>
        <v>52</v>
      </c>
      <c r="M569" s="282">
        <v>1.6E-2</v>
      </c>
      <c r="N569" s="22">
        <f t="shared" si="998"/>
        <v>0.159104</v>
      </c>
      <c r="O569" s="268">
        <f t="shared" si="999"/>
        <v>8.2734079999999999</v>
      </c>
      <c r="P569" s="23">
        <f t="shared" si="1000"/>
        <v>1.032</v>
      </c>
      <c r="Q569" s="268">
        <f t="shared" si="1001"/>
        <v>10.262207999999999</v>
      </c>
      <c r="R569" s="118"/>
    </row>
    <row r="570" spans="1:18" x14ac:dyDescent="0.35">
      <c r="A570" s="67" t="str">
        <f>IF(TRIM(G570)&lt;&gt;"",COUNTA(G$11:$G570)&amp;"","")</f>
        <v/>
      </c>
      <c r="B570" s="311"/>
      <c r="C570" s="311"/>
      <c r="D570" s="30"/>
      <c r="E570" s="65"/>
      <c r="F570" s="69"/>
      <c r="G570" s="70"/>
      <c r="H570" s="21"/>
      <c r="I570" s="47"/>
      <c r="J570" s="265"/>
      <c r="K570" s="268"/>
      <c r="L570" s="258"/>
      <c r="M570" s="282"/>
      <c r="N570" s="22"/>
      <c r="O570" s="268"/>
      <c r="P570" s="23"/>
      <c r="Q570" s="268"/>
      <c r="R570" s="118"/>
    </row>
    <row r="571" spans="1:18" x14ac:dyDescent="0.35">
      <c r="A571" s="67" t="str">
        <f>IF(TRIM(G571)&lt;&gt;"",COUNTA(G$11:$G571)&amp;"","")</f>
        <v>368</v>
      </c>
      <c r="B571" s="311"/>
      <c r="C571" s="311"/>
      <c r="D571" s="30"/>
      <c r="E571" s="238" t="s">
        <v>311</v>
      </c>
      <c r="F571" s="239">
        <v>1.98</v>
      </c>
      <c r="G571" s="245" t="s">
        <v>177</v>
      </c>
      <c r="H571" s="21"/>
      <c r="I571" s="47"/>
      <c r="J571" s="265"/>
      <c r="K571" s="268"/>
      <c r="L571" s="258"/>
      <c r="M571" s="282"/>
      <c r="N571" s="22"/>
      <c r="O571" s="268"/>
      <c r="P571" s="23"/>
      <c r="Q571" s="268"/>
      <c r="R571" s="118"/>
    </row>
    <row r="572" spans="1:18" x14ac:dyDescent="0.35">
      <c r="A572" s="67" t="str">
        <f>IF(TRIM(G572)&lt;&gt;"",COUNTA(G$11:$G572)&amp;"","")</f>
        <v>369</v>
      </c>
      <c r="B572" s="311"/>
      <c r="C572" s="311"/>
      <c r="D572" s="30"/>
      <c r="E572" s="65" t="s">
        <v>612</v>
      </c>
      <c r="F572" s="69">
        <v>2</v>
      </c>
      <c r="G572" s="70" t="s">
        <v>211</v>
      </c>
      <c r="H572" s="21">
        <v>0</v>
      </c>
      <c r="I572" s="47">
        <f t="shared" ref="I572:I574" si="1002">IF(F572=0,"",F572+(F572*H572))</f>
        <v>2</v>
      </c>
      <c r="J572" s="265">
        <f>10*0.48</f>
        <v>4.8</v>
      </c>
      <c r="K572" s="268">
        <f t="shared" ref="K572:K574" si="1003">IF(F572=0,"",J572*I572)</f>
        <v>9.6</v>
      </c>
      <c r="L572" s="258">
        <f t="shared" ref="L572:L574" si="1004">IF(F572=0,"",L$491)</f>
        <v>52</v>
      </c>
      <c r="M572" s="282">
        <f>10*0.0475</f>
        <v>0.47499999999999998</v>
      </c>
      <c r="N572" s="22">
        <f t="shared" ref="N572:N574" si="1005">IF(F572=0,"",M572*I572)</f>
        <v>0.95</v>
      </c>
      <c r="O572" s="268">
        <f t="shared" ref="O572:O574" si="1006">IF(F572=0,"",N572*L572)</f>
        <v>49.4</v>
      </c>
      <c r="P572" s="23">
        <f t="shared" ref="P572:P574" si="1007">IF(F572=0,"",(K572+O572)/I572)</f>
        <v>29.5</v>
      </c>
      <c r="Q572" s="268">
        <f t="shared" ref="Q572:Q574" si="1008">IF(F572=0,"",(P572*I572))</f>
        <v>59</v>
      </c>
      <c r="R572" s="118"/>
    </row>
    <row r="573" spans="1:18" x14ac:dyDescent="0.35">
      <c r="A573" s="67" t="str">
        <f>IF(TRIM(G573)&lt;&gt;"",COUNTA(G$11:$G573)&amp;"","")</f>
        <v>370</v>
      </c>
      <c r="B573" s="311"/>
      <c r="C573" s="311"/>
      <c r="D573" s="30"/>
      <c r="E573" s="65" t="s">
        <v>613</v>
      </c>
      <c r="F573" s="69">
        <f>F571*2</f>
        <v>3.96</v>
      </c>
      <c r="G573" s="70" t="s">
        <v>177</v>
      </c>
      <c r="H573" s="21">
        <v>0.1</v>
      </c>
      <c r="I573" s="47">
        <f t="shared" si="1002"/>
        <v>4.3559999999999999</v>
      </c>
      <c r="J573" s="265">
        <v>0.48</v>
      </c>
      <c r="K573" s="268">
        <f t="shared" si="1003"/>
        <v>2.0908799999999998</v>
      </c>
      <c r="L573" s="258">
        <f t="shared" si="1004"/>
        <v>52</v>
      </c>
      <c r="M573" s="282">
        <v>4.7500000000000001E-2</v>
      </c>
      <c r="N573" s="22">
        <f t="shared" si="1005"/>
        <v>0.20690999999999998</v>
      </c>
      <c r="O573" s="268">
        <f t="shared" si="1006"/>
        <v>10.759319999999999</v>
      </c>
      <c r="P573" s="23">
        <f t="shared" si="1007"/>
        <v>2.9499999999999997</v>
      </c>
      <c r="Q573" s="268">
        <f t="shared" si="1008"/>
        <v>12.850199999999999</v>
      </c>
      <c r="R573" s="118"/>
    </row>
    <row r="574" spans="1:18" x14ac:dyDescent="0.35">
      <c r="A574" s="67" t="str">
        <f>IF(TRIM(G574)&lt;&gt;"",COUNTA(G$11:$G574)&amp;"","")</f>
        <v>371</v>
      </c>
      <c r="B574" s="311"/>
      <c r="C574" s="311"/>
      <c r="D574" s="30"/>
      <c r="E574" s="65" t="s">
        <v>614</v>
      </c>
      <c r="F574" s="69">
        <f>F571</f>
        <v>1.98</v>
      </c>
      <c r="G574" s="70" t="s">
        <v>177</v>
      </c>
      <c r="H574" s="21">
        <v>0.1</v>
      </c>
      <c r="I574" s="47">
        <f t="shared" si="1002"/>
        <v>2.1779999999999999</v>
      </c>
      <c r="J574" s="265">
        <f>7.72/8</f>
        <v>0.96499999999999997</v>
      </c>
      <c r="K574" s="268">
        <f t="shared" si="1003"/>
        <v>2.1017699999999997</v>
      </c>
      <c r="L574" s="258">
        <f t="shared" si="1004"/>
        <v>52</v>
      </c>
      <c r="M574" s="282">
        <v>4.7500000000000001E-2</v>
      </c>
      <c r="N574" s="22">
        <f t="shared" si="1005"/>
        <v>0.10345499999999999</v>
      </c>
      <c r="O574" s="268">
        <f t="shared" si="1006"/>
        <v>5.3796599999999994</v>
      </c>
      <c r="P574" s="23">
        <f t="shared" si="1007"/>
        <v>3.4350000000000001</v>
      </c>
      <c r="Q574" s="268">
        <f t="shared" si="1008"/>
        <v>7.4814299999999996</v>
      </c>
      <c r="R574" s="118"/>
    </row>
    <row r="575" spans="1:18" x14ac:dyDescent="0.35">
      <c r="A575" s="67" t="str">
        <f>IF(TRIM(G575)&lt;&gt;"",COUNTA(G$11:$G575)&amp;"","")</f>
        <v>372</v>
      </c>
      <c r="B575" s="311"/>
      <c r="C575" s="311"/>
      <c r="D575" s="30"/>
      <c r="E575" s="65" t="s">
        <v>314</v>
      </c>
      <c r="F575" s="69">
        <f>F571*6.58</f>
        <v>13.0284</v>
      </c>
      <c r="G575" s="70" t="s">
        <v>163</v>
      </c>
      <c r="H575" s="21">
        <v>0.1</v>
      </c>
      <c r="I575" s="47">
        <f t="shared" ref="I575:I576" si="1009">IF(F575=0,"",F575+(F575*H575))</f>
        <v>14.331239999999999</v>
      </c>
      <c r="J575" s="265">
        <v>0.52</v>
      </c>
      <c r="K575" s="268">
        <f t="shared" ref="K575:K576" si="1010">IF(F575=0,"",J575*I575)</f>
        <v>7.4522447999999999</v>
      </c>
      <c r="L575" s="258">
        <f t="shared" ref="L575:L576" si="1011">IF(F575=0,"",L$491)</f>
        <v>52</v>
      </c>
      <c r="M575" s="282">
        <v>1.6E-2</v>
      </c>
      <c r="N575" s="22">
        <f t="shared" ref="N575:N576" si="1012">IF(F575=0,"",M575*I575)</f>
        <v>0.22929984</v>
      </c>
      <c r="O575" s="268">
        <f t="shared" ref="O575:O576" si="1013">IF(F575=0,"",N575*L575)</f>
        <v>11.923591679999999</v>
      </c>
      <c r="P575" s="23">
        <f t="shared" ref="P575:P576" si="1014">IF(F575=0,"",(K575+O575)/I575)</f>
        <v>1.3520000000000001</v>
      </c>
      <c r="Q575" s="268">
        <f t="shared" ref="Q575:Q576" si="1015">IF(F575=0,"",(P575*I575))</f>
        <v>19.37583648</v>
      </c>
      <c r="R575" s="118"/>
    </row>
    <row r="576" spans="1:18" x14ac:dyDescent="0.35">
      <c r="A576" s="67" t="str">
        <f>IF(TRIM(G576)&lt;&gt;"",COUNTA(G$11:$G576)&amp;"","")</f>
        <v>373</v>
      </c>
      <c r="B576" s="311"/>
      <c r="C576" s="311"/>
      <c r="D576" s="30"/>
      <c r="E576" s="65" t="s">
        <v>308</v>
      </c>
      <c r="F576" s="69">
        <f>F571*2</f>
        <v>3.96</v>
      </c>
      <c r="G576" s="70" t="s">
        <v>177</v>
      </c>
      <c r="H576" s="21">
        <v>0.1</v>
      </c>
      <c r="I576" s="47">
        <f t="shared" si="1009"/>
        <v>4.3559999999999999</v>
      </c>
      <c r="J576" s="265">
        <v>0.2</v>
      </c>
      <c r="K576" s="268">
        <f t="shared" si="1010"/>
        <v>0.87119999999999997</v>
      </c>
      <c r="L576" s="258">
        <f t="shared" si="1011"/>
        <v>52</v>
      </c>
      <c r="M576" s="282">
        <v>1.6E-2</v>
      </c>
      <c r="N576" s="22">
        <f t="shared" si="1012"/>
        <v>6.9695999999999994E-2</v>
      </c>
      <c r="O576" s="268">
        <f t="shared" si="1013"/>
        <v>3.6241919999999999</v>
      </c>
      <c r="P576" s="23">
        <f t="shared" si="1014"/>
        <v>1.032</v>
      </c>
      <c r="Q576" s="268">
        <f t="shared" si="1015"/>
        <v>4.4953919999999998</v>
      </c>
      <c r="R576" s="118"/>
    </row>
    <row r="577" spans="1:18" x14ac:dyDescent="0.35">
      <c r="A577" s="67" t="str">
        <f>IF(TRIM(G577)&lt;&gt;"",COUNTA(G$11:$G577)&amp;"","")</f>
        <v/>
      </c>
      <c r="B577" s="311"/>
      <c r="C577" s="311"/>
      <c r="D577" s="30"/>
      <c r="E577" s="65"/>
      <c r="F577" s="69"/>
      <c r="G577" s="70"/>
      <c r="H577" s="21"/>
      <c r="I577" s="47"/>
      <c r="J577" s="265"/>
      <c r="K577" s="268"/>
      <c r="L577" s="258"/>
      <c r="M577" s="282"/>
      <c r="N577" s="22"/>
      <c r="O577" s="268"/>
      <c r="P577" s="23"/>
      <c r="Q577" s="268"/>
      <c r="R577" s="118"/>
    </row>
    <row r="578" spans="1:18" x14ac:dyDescent="0.35">
      <c r="A578" s="67" t="str">
        <f>IF(TRIM(G578)&lt;&gt;"",COUNTA(G$11:$G578)&amp;"","")</f>
        <v>374</v>
      </c>
      <c r="B578" s="311"/>
      <c r="C578" s="311"/>
      <c r="D578" s="30"/>
      <c r="E578" s="238" t="s">
        <v>321</v>
      </c>
      <c r="F578" s="239">
        <v>18.28</v>
      </c>
      <c r="G578" s="245" t="s">
        <v>177</v>
      </c>
      <c r="H578" s="21"/>
      <c r="I578" s="47"/>
      <c r="J578" s="265"/>
      <c r="K578" s="268"/>
      <c r="L578" s="258"/>
      <c r="M578" s="282"/>
      <c r="N578" s="22"/>
      <c r="O578" s="268"/>
      <c r="P578" s="23"/>
      <c r="Q578" s="268"/>
      <c r="R578" s="118"/>
    </row>
    <row r="579" spans="1:18" x14ac:dyDescent="0.35">
      <c r="A579" s="67" t="str">
        <f>IF(TRIM(G579)&lt;&gt;"",COUNTA(G$11:$G579)&amp;"","")</f>
        <v>375</v>
      </c>
      <c r="B579" s="311"/>
      <c r="C579" s="311"/>
      <c r="D579" s="30"/>
      <c r="E579" s="65" t="s">
        <v>617</v>
      </c>
      <c r="F579" s="69">
        <v>8</v>
      </c>
      <c r="G579" s="70" t="s">
        <v>211</v>
      </c>
      <c r="H579" s="21">
        <v>0</v>
      </c>
      <c r="I579" s="47">
        <f t="shared" ref="I579:I581" si="1016">IF(F579=0,"",F579+(F579*H579))</f>
        <v>8</v>
      </c>
      <c r="J579" s="265">
        <f>9*0.48</f>
        <v>4.32</v>
      </c>
      <c r="K579" s="268">
        <f t="shared" ref="K579:K581" si="1017">IF(F579=0,"",J579*I579)</f>
        <v>34.56</v>
      </c>
      <c r="L579" s="258">
        <f t="shared" ref="L579:L581" si="1018">IF(F579=0,"",L$491)</f>
        <v>52</v>
      </c>
      <c r="M579" s="282">
        <f>9*0.0475</f>
        <v>0.42749999999999999</v>
      </c>
      <c r="N579" s="22">
        <f t="shared" ref="N579:N581" si="1019">IF(F579=0,"",M579*I579)</f>
        <v>3.42</v>
      </c>
      <c r="O579" s="268">
        <f t="shared" ref="O579:O581" si="1020">IF(F579=0,"",N579*L579)</f>
        <v>177.84</v>
      </c>
      <c r="P579" s="23">
        <f t="shared" ref="P579:P581" si="1021">IF(F579=0,"",(K579+O579)/I579)</f>
        <v>26.55</v>
      </c>
      <c r="Q579" s="268">
        <f t="shared" ref="Q579:Q581" si="1022">IF(F579=0,"",(P579*I579))</f>
        <v>212.4</v>
      </c>
      <c r="R579" s="118"/>
    </row>
    <row r="580" spans="1:18" x14ac:dyDescent="0.35">
      <c r="A580" s="67" t="str">
        <f>IF(TRIM(G580)&lt;&gt;"",COUNTA(G$11:$G580)&amp;"","")</f>
        <v>376</v>
      </c>
      <c r="B580" s="311"/>
      <c r="C580" s="311"/>
      <c r="D580" s="30"/>
      <c r="E580" s="65" t="s">
        <v>613</v>
      </c>
      <c r="F580" s="69">
        <f>F578*2</f>
        <v>36.56</v>
      </c>
      <c r="G580" s="70" t="s">
        <v>177</v>
      </c>
      <c r="H580" s="21">
        <v>0.1</v>
      </c>
      <c r="I580" s="47">
        <f t="shared" si="1016"/>
        <v>40.216000000000001</v>
      </c>
      <c r="J580" s="265">
        <v>0.48</v>
      </c>
      <c r="K580" s="268">
        <f t="shared" si="1017"/>
        <v>19.30368</v>
      </c>
      <c r="L580" s="258">
        <f t="shared" si="1018"/>
        <v>52</v>
      </c>
      <c r="M580" s="282">
        <v>4.7500000000000001E-2</v>
      </c>
      <c r="N580" s="22">
        <f t="shared" si="1019"/>
        <v>1.9102600000000001</v>
      </c>
      <c r="O580" s="268">
        <f t="shared" si="1020"/>
        <v>99.333520000000007</v>
      </c>
      <c r="P580" s="23">
        <f t="shared" si="1021"/>
        <v>2.95</v>
      </c>
      <c r="Q580" s="268">
        <f t="shared" si="1022"/>
        <v>118.63720000000001</v>
      </c>
      <c r="R580" s="118"/>
    </row>
    <row r="581" spans="1:18" x14ac:dyDescent="0.35">
      <c r="A581" s="67" t="str">
        <f>IF(TRIM(G581)&lt;&gt;"",COUNTA(G$11:$G581)&amp;"","")</f>
        <v>377</v>
      </c>
      <c r="B581" s="311"/>
      <c r="C581" s="311"/>
      <c r="D581" s="30"/>
      <c r="E581" s="65" t="s">
        <v>614</v>
      </c>
      <c r="F581" s="69">
        <f>F578</f>
        <v>18.28</v>
      </c>
      <c r="G581" s="70" t="s">
        <v>177</v>
      </c>
      <c r="H581" s="21">
        <v>0.1</v>
      </c>
      <c r="I581" s="47">
        <f t="shared" si="1016"/>
        <v>20.108000000000001</v>
      </c>
      <c r="J581" s="265">
        <f>7.72/8</f>
        <v>0.96499999999999997</v>
      </c>
      <c r="K581" s="268">
        <f t="shared" si="1017"/>
        <v>19.404219999999999</v>
      </c>
      <c r="L581" s="258">
        <f t="shared" si="1018"/>
        <v>52</v>
      </c>
      <c r="M581" s="282">
        <v>4.7500000000000001E-2</v>
      </c>
      <c r="N581" s="22">
        <f t="shared" si="1019"/>
        <v>0.95513000000000003</v>
      </c>
      <c r="O581" s="268">
        <f t="shared" si="1020"/>
        <v>49.666760000000004</v>
      </c>
      <c r="P581" s="23">
        <f t="shared" si="1021"/>
        <v>3.4350000000000001</v>
      </c>
      <c r="Q581" s="268">
        <f t="shared" si="1022"/>
        <v>69.070980000000006</v>
      </c>
      <c r="R581" s="118"/>
    </row>
    <row r="582" spans="1:18" x14ac:dyDescent="0.35">
      <c r="A582" s="67" t="str">
        <f>IF(TRIM(G582)&lt;&gt;"",COUNTA(G$11:$G582)&amp;"","")</f>
        <v>378</v>
      </c>
      <c r="B582" s="311"/>
      <c r="C582" s="311"/>
      <c r="D582" s="30"/>
      <c r="E582" s="65" t="s">
        <v>320</v>
      </c>
      <c r="F582" s="69">
        <f>F578*4.5</f>
        <v>82.26</v>
      </c>
      <c r="G582" s="70" t="s">
        <v>163</v>
      </c>
      <c r="H582" s="21">
        <v>0.1</v>
      </c>
      <c r="I582" s="47">
        <f t="shared" ref="I582" si="1023">IF(F582=0,"",F582+(F582*H582))</f>
        <v>90.486000000000004</v>
      </c>
      <c r="J582" s="265">
        <v>0.42</v>
      </c>
      <c r="K582" s="268">
        <f t="shared" ref="K582" si="1024">IF(F582=0,"",J582*I582)</f>
        <v>38.00412</v>
      </c>
      <c r="L582" s="258">
        <f t="shared" ref="L582" si="1025">IF(F582=0,"",L$491)</f>
        <v>52</v>
      </c>
      <c r="M582" s="282">
        <v>1.6E-2</v>
      </c>
      <c r="N582" s="22">
        <f t="shared" ref="N582" si="1026">IF(F582=0,"",M582*I582)</f>
        <v>1.4477760000000002</v>
      </c>
      <c r="O582" s="268">
        <f t="shared" ref="O582" si="1027">IF(F582=0,"",N582*L582)</f>
        <v>75.284352000000013</v>
      </c>
      <c r="P582" s="23">
        <f t="shared" ref="P582" si="1028">IF(F582=0,"",(K582+O582)/I582)</f>
        <v>1.252</v>
      </c>
      <c r="Q582" s="268">
        <f t="shared" ref="Q582" si="1029">IF(F582=0,"",(P582*I582))</f>
        <v>113.288472</v>
      </c>
      <c r="R582" s="118"/>
    </row>
    <row r="583" spans="1:18" x14ac:dyDescent="0.35">
      <c r="A583" s="67" t="str">
        <f>IF(TRIM(G583)&lt;&gt;"",COUNTA(G$11:$G583)&amp;"","")</f>
        <v/>
      </c>
      <c r="B583" s="311"/>
      <c r="C583" s="311"/>
      <c r="D583" s="30"/>
      <c r="E583" s="65"/>
      <c r="F583" s="69"/>
      <c r="G583" s="70"/>
      <c r="H583" s="21"/>
      <c r="I583" s="47"/>
      <c r="J583" s="265"/>
      <c r="K583" s="268"/>
      <c r="L583" s="258"/>
      <c r="M583" s="282"/>
      <c r="N583" s="22"/>
      <c r="O583" s="268"/>
      <c r="P583" s="23"/>
      <c r="Q583" s="268"/>
      <c r="R583" s="118"/>
    </row>
    <row r="584" spans="1:18" x14ac:dyDescent="0.35">
      <c r="A584" s="67" t="str">
        <f>IF(TRIM(G584)&lt;&gt;"",COUNTA(G$11:$G584)&amp;"","")</f>
        <v>379</v>
      </c>
      <c r="B584" s="311"/>
      <c r="C584" s="311"/>
      <c r="D584" s="30"/>
      <c r="E584" s="238" t="s">
        <v>322</v>
      </c>
      <c r="F584" s="239">
        <v>18.28</v>
      </c>
      <c r="G584" s="245" t="s">
        <v>177</v>
      </c>
      <c r="H584" s="21"/>
      <c r="I584" s="47"/>
      <c r="J584" s="265"/>
      <c r="K584" s="268"/>
      <c r="L584" s="258"/>
      <c r="M584" s="282"/>
      <c r="N584" s="22"/>
      <c r="O584" s="268"/>
      <c r="P584" s="23"/>
      <c r="Q584" s="268"/>
      <c r="R584" s="118"/>
    </row>
    <row r="585" spans="1:18" x14ac:dyDescent="0.35">
      <c r="A585" s="67" t="str">
        <f>IF(TRIM(G585)&lt;&gt;"",COUNTA(G$11:$G585)&amp;"","")</f>
        <v>380</v>
      </c>
      <c r="B585" s="311"/>
      <c r="C585" s="311"/>
      <c r="D585" s="30"/>
      <c r="E585" s="65" t="s">
        <v>612</v>
      </c>
      <c r="F585" s="69">
        <v>15</v>
      </c>
      <c r="G585" s="70" t="s">
        <v>211</v>
      </c>
      <c r="H585" s="21">
        <v>0.1</v>
      </c>
      <c r="I585" s="47">
        <f t="shared" ref="I585:I587" si="1030">IF(F585=0,"",F585+(F585*H585))</f>
        <v>16.5</v>
      </c>
      <c r="J585" s="265">
        <f>10*0.48</f>
        <v>4.8</v>
      </c>
      <c r="K585" s="268">
        <f t="shared" ref="K585:K587" si="1031">IF(F585=0,"",J585*I585)</f>
        <v>79.2</v>
      </c>
      <c r="L585" s="258">
        <f t="shared" ref="L585:L587" si="1032">IF(F585=0,"",L$491)</f>
        <v>52</v>
      </c>
      <c r="M585" s="282">
        <f>10*0.0475</f>
        <v>0.47499999999999998</v>
      </c>
      <c r="N585" s="22">
        <f t="shared" ref="N585:N587" si="1033">IF(F585=0,"",M585*I585)</f>
        <v>7.8374999999999995</v>
      </c>
      <c r="O585" s="268">
        <f t="shared" ref="O585:O587" si="1034">IF(F585=0,"",N585*L585)</f>
        <v>407.54999999999995</v>
      </c>
      <c r="P585" s="23">
        <f t="shared" ref="P585:P587" si="1035">IF(F585=0,"",(K585+O585)/I585)</f>
        <v>29.499999999999996</v>
      </c>
      <c r="Q585" s="268">
        <f t="shared" ref="Q585:Q587" si="1036">IF(F585=0,"",(P585*I585))</f>
        <v>486.74999999999994</v>
      </c>
      <c r="R585" s="118"/>
    </row>
    <row r="586" spans="1:18" x14ac:dyDescent="0.35">
      <c r="A586" s="67" t="str">
        <f>IF(TRIM(G586)&lt;&gt;"",COUNTA(G$11:$G586)&amp;"","")</f>
        <v>381</v>
      </c>
      <c r="B586" s="311"/>
      <c r="C586" s="311"/>
      <c r="D586" s="30"/>
      <c r="E586" s="65" t="s">
        <v>613</v>
      </c>
      <c r="F586" s="69">
        <f>F584*2</f>
        <v>36.56</v>
      </c>
      <c r="G586" s="70" t="s">
        <v>177</v>
      </c>
      <c r="H586" s="21">
        <v>0.1</v>
      </c>
      <c r="I586" s="47">
        <f t="shared" si="1030"/>
        <v>40.216000000000001</v>
      </c>
      <c r="J586" s="265">
        <v>0.48</v>
      </c>
      <c r="K586" s="268">
        <f t="shared" si="1031"/>
        <v>19.30368</v>
      </c>
      <c r="L586" s="258">
        <f t="shared" si="1032"/>
        <v>52</v>
      </c>
      <c r="M586" s="282">
        <v>4.7500000000000001E-2</v>
      </c>
      <c r="N586" s="22">
        <f t="shared" si="1033"/>
        <v>1.9102600000000001</v>
      </c>
      <c r="O586" s="268">
        <f t="shared" si="1034"/>
        <v>99.333520000000007</v>
      </c>
      <c r="P586" s="23">
        <f t="shared" si="1035"/>
        <v>2.95</v>
      </c>
      <c r="Q586" s="268">
        <f t="shared" si="1036"/>
        <v>118.63720000000001</v>
      </c>
      <c r="R586" s="118"/>
    </row>
    <row r="587" spans="1:18" x14ac:dyDescent="0.35">
      <c r="A587" s="67" t="str">
        <f>IF(TRIM(G587)&lt;&gt;"",COUNTA(G$11:$G587)&amp;"","")</f>
        <v>382</v>
      </c>
      <c r="B587" s="311"/>
      <c r="C587" s="311"/>
      <c r="D587" s="30"/>
      <c r="E587" s="65" t="s">
        <v>614</v>
      </c>
      <c r="F587" s="69">
        <f>F584</f>
        <v>18.28</v>
      </c>
      <c r="G587" s="70" t="s">
        <v>177</v>
      </c>
      <c r="H587" s="21">
        <v>0.1</v>
      </c>
      <c r="I587" s="47">
        <f t="shared" si="1030"/>
        <v>20.108000000000001</v>
      </c>
      <c r="J587" s="265">
        <f>7.72/8</f>
        <v>0.96499999999999997</v>
      </c>
      <c r="K587" s="268">
        <f t="shared" si="1031"/>
        <v>19.404219999999999</v>
      </c>
      <c r="L587" s="258">
        <f t="shared" si="1032"/>
        <v>52</v>
      </c>
      <c r="M587" s="282">
        <v>4.7500000000000001E-2</v>
      </c>
      <c r="N587" s="22">
        <f t="shared" si="1033"/>
        <v>0.95513000000000003</v>
      </c>
      <c r="O587" s="268">
        <f t="shared" si="1034"/>
        <v>49.666760000000004</v>
      </c>
      <c r="P587" s="23">
        <f t="shared" si="1035"/>
        <v>3.4350000000000001</v>
      </c>
      <c r="Q587" s="268">
        <f t="shared" si="1036"/>
        <v>69.070980000000006</v>
      </c>
      <c r="R587" s="118"/>
    </row>
    <row r="588" spans="1:18" x14ac:dyDescent="0.35">
      <c r="A588" s="67" t="str">
        <f>IF(TRIM(G588)&lt;&gt;"",COUNTA(G$11:$G588)&amp;"","")</f>
        <v/>
      </c>
      <c r="B588" s="311"/>
      <c r="C588" s="311"/>
      <c r="D588" s="30"/>
      <c r="E588" s="65"/>
      <c r="F588" s="69"/>
      <c r="G588" s="70"/>
      <c r="H588" s="21"/>
      <c r="I588" s="47"/>
      <c r="J588" s="265"/>
      <c r="K588" s="268"/>
      <c r="L588" s="258"/>
      <c r="M588" s="282"/>
      <c r="N588" s="22"/>
      <c r="O588" s="268"/>
      <c r="P588" s="23"/>
      <c r="Q588" s="268"/>
      <c r="R588" s="118"/>
    </row>
    <row r="589" spans="1:18" x14ac:dyDescent="0.35">
      <c r="A589" s="67" t="str">
        <f>IF(TRIM(G589)&lt;&gt;"",COUNTA(G$11:$G589)&amp;"","")</f>
        <v>383</v>
      </c>
      <c r="B589" s="311"/>
      <c r="C589" s="311"/>
      <c r="D589" s="30"/>
      <c r="E589" s="238" t="s">
        <v>323</v>
      </c>
      <c r="F589" s="239">
        <v>18.28</v>
      </c>
      <c r="G589" s="245" t="s">
        <v>177</v>
      </c>
      <c r="H589" s="21"/>
      <c r="I589" s="47"/>
      <c r="J589" s="265"/>
      <c r="K589" s="268"/>
      <c r="L589" s="258"/>
      <c r="M589" s="282"/>
      <c r="N589" s="22"/>
      <c r="O589" s="268"/>
      <c r="P589" s="23"/>
      <c r="Q589" s="268"/>
      <c r="R589" s="118"/>
    </row>
    <row r="590" spans="1:18" x14ac:dyDescent="0.35">
      <c r="A590" s="67" t="str">
        <f>IF(TRIM(G590)&lt;&gt;"",COUNTA(G$11:$G590)&amp;"","")</f>
        <v>384</v>
      </c>
      <c r="B590" s="311"/>
      <c r="C590" s="311"/>
      <c r="D590" s="30"/>
      <c r="E590" s="65" t="s">
        <v>619</v>
      </c>
      <c r="F590" s="69">
        <v>15</v>
      </c>
      <c r="G590" s="70" t="s">
        <v>211</v>
      </c>
      <c r="H590" s="21">
        <v>0</v>
      </c>
      <c r="I590" s="47">
        <f t="shared" ref="I590:I592" si="1037">IF(F590=0,"",F590+(F590*H590))</f>
        <v>15</v>
      </c>
      <c r="J590" s="265">
        <f>0.78*12</f>
        <v>9.36</v>
      </c>
      <c r="K590" s="268">
        <f t="shared" ref="K590" si="1038">IF(F590=0,"",J590*I590)</f>
        <v>140.39999999999998</v>
      </c>
      <c r="L590" s="258">
        <f t="shared" ref="L590:L592" si="1039">IF(F590=0,"",L$491)</f>
        <v>52</v>
      </c>
      <c r="M590" s="282">
        <f>0.0543*12</f>
        <v>0.65159999999999996</v>
      </c>
      <c r="N590" s="22">
        <f t="shared" ref="N590" si="1040">IF(F590=0,"",M590*I590)</f>
        <v>9.7739999999999991</v>
      </c>
      <c r="O590" s="268">
        <f t="shared" ref="O590" si="1041">IF(F590=0,"",N590*L590)</f>
        <v>508.24799999999993</v>
      </c>
      <c r="P590" s="23">
        <f t="shared" ref="P590" si="1042">IF(F590=0,"",(K590+O590)/I590)</f>
        <v>43.243199999999995</v>
      </c>
      <c r="Q590" s="268">
        <f t="shared" ref="Q590" si="1043">IF(F590=0,"",(P590*I590))</f>
        <v>648.64799999999991</v>
      </c>
      <c r="R590" s="118"/>
    </row>
    <row r="591" spans="1:18" x14ac:dyDescent="0.35">
      <c r="A591" s="67" t="str">
        <f>IF(TRIM(G591)&lt;&gt;"",COUNTA(G$11:$G591)&amp;"","")</f>
        <v>385</v>
      </c>
      <c r="B591" s="311"/>
      <c r="C591" s="311"/>
      <c r="D591" s="30"/>
      <c r="E591" s="65" t="s">
        <v>620</v>
      </c>
      <c r="F591" s="69">
        <f>F589*2</f>
        <v>36.56</v>
      </c>
      <c r="G591" s="70" t="s">
        <v>177</v>
      </c>
      <c r="H591" s="21">
        <v>0.1</v>
      </c>
      <c r="I591" s="47">
        <f t="shared" si="1037"/>
        <v>40.216000000000001</v>
      </c>
      <c r="J591" s="265">
        <v>0.78</v>
      </c>
      <c r="K591" s="268">
        <f t="shared" ref="K591:K592" si="1044">IF(F591=0,"",J591*I591)</f>
        <v>31.368480000000002</v>
      </c>
      <c r="L591" s="258">
        <f t="shared" si="1039"/>
        <v>52</v>
      </c>
      <c r="M591" s="282">
        <v>5.4300000000000001E-2</v>
      </c>
      <c r="N591" s="22">
        <f t="shared" ref="N591:N592" si="1045">IF(F591=0,"",M591*I591)</f>
        <v>2.1837287999999999</v>
      </c>
      <c r="O591" s="268">
        <f t="shared" ref="O591:O592" si="1046">IF(F591=0,"",N591*L591)</f>
        <v>113.5538976</v>
      </c>
      <c r="P591" s="23">
        <f t="shared" ref="P591:P592" si="1047">IF(F591=0,"",(K591+O591)/I591)</f>
        <v>3.6036000000000001</v>
      </c>
      <c r="Q591" s="268">
        <f t="shared" ref="Q591:Q592" si="1048">IF(F591=0,"",(P591*I591))</f>
        <v>144.9223776</v>
      </c>
      <c r="R591" s="118"/>
    </row>
    <row r="592" spans="1:18" x14ac:dyDescent="0.35">
      <c r="A592" s="67" t="str">
        <f>IF(TRIM(G592)&lt;&gt;"",COUNTA(G$11:$G592)&amp;"","")</f>
        <v>386</v>
      </c>
      <c r="B592" s="311"/>
      <c r="C592" s="311"/>
      <c r="D592" s="30"/>
      <c r="E592" s="65" t="s">
        <v>621</v>
      </c>
      <c r="F592" s="69">
        <f>F589</f>
        <v>18.28</v>
      </c>
      <c r="G592" s="70" t="s">
        <v>177</v>
      </c>
      <c r="H592" s="21">
        <v>0.1</v>
      </c>
      <c r="I592" s="47">
        <f t="shared" si="1037"/>
        <v>20.108000000000001</v>
      </c>
      <c r="J592" s="265">
        <f>10.58/8</f>
        <v>1.3225</v>
      </c>
      <c r="K592" s="268">
        <f t="shared" si="1044"/>
        <v>26.592829999999999</v>
      </c>
      <c r="L592" s="258">
        <f t="shared" si="1039"/>
        <v>52</v>
      </c>
      <c r="M592" s="282">
        <v>5.4300000000000001E-2</v>
      </c>
      <c r="N592" s="22">
        <f t="shared" si="1045"/>
        <v>1.0918644</v>
      </c>
      <c r="O592" s="268">
        <f t="shared" si="1046"/>
        <v>56.7769488</v>
      </c>
      <c r="P592" s="23">
        <f t="shared" si="1047"/>
        <v>4.1461000000000006</v>
      </c>
      <c r="Q592" s="268">
        <f t="shared" si="1048"/>
        <v>83.36977880000002</v>
      </c>
      <c r="R592" s="118"/>
    </row>
    <row r="593" spans="1:18" x14ac:dyDescent="0.35">
      <c r="A593" s="67" t="str">
        <f>IF(TRIM(G593)&lt;&gt;"",COUNTA(G$11:$G593)&amp;"","")</f>
        <v>387</v>
      </c>
      <c r="B593" s="311"/>
      <c r="C593" s="311"/>
      <c r="D593" s="30"/>
      <c r="E593" s="65" t="s">
        <v>618</v>
      </c>
      <c r="F593" s="69">
        <f>F589</f>
        <v>18.28</v>
      </c>
      <c r="G593" s="70" t="s">
        <v>177</v>
      </c>
      <c r="H593" s="21">
        <v>0.1</v>
      </c>
      <c r="I593" s="47">
        <f t="shared" ref="I593" si="1049">IF(F593=0,"",F593+(F593*H593))</f>
        <v>20.108000000000001</v>
      </c>
      <c r="J593" s="265">
        <v>1.25</v>
      </c>
      <c r="K593" s="268">
        <f t="shared" ref="K593" si="1050">IF(F593=0,"",J593*I593)</f>
        <v>25.135000000000002</v>
      </c>
      <c r="L593" s="258">
        <f t="shared" ref="L593" si="1051">IF(F593=0,"",L$491)</f>
        <v>52</v>
      </c>
      <c r="M593" s="282">
        <v>5.7500000000000002E-2</v>
      </c>
      <c r="N593" s="22">
        <f t="shared" ref="N593" si="1052">IF(F593=0,"",M593*I593)</f>
        <v>1.1562100000000002</v>
      </c>
      <c r="O593" s="268">
        <f t="shared" ref="O593" si="1053">IF(F593=0,"",N593*L593)</f>
        <v>60.122920000000008</v>
      </c>
      <c r="P593" s="23">
        <f t="shared" ref="P593" si="1054">IF(F593=0,"",(K593+O593)/I593)</f>
        <v>4.24</v>
      </c>
      <c r="Q593" s="268">
        <f t="shared" ref="Q593" si="1055">IF(F593=0,"",(P593*I593))</f>
        <v>85.257920000000013</v>
      </c>
      <c r="R593" s="118"/>
    </row>
    <row r="594" spans="1:18" x14ac:dyDescent="0.35">
      <c r="A594" s="67" t="str">
        <f>IF(TRIM(G594)&lt;&gt;"",COUNTA(G$11:$G594)&amp;"","")</f>
        <v>388</v>
      </c>
      <c r="B594" s="311"/>
      <c r="C594" s="311"/>
      <c r="D594" s="30"/>
      <c r="E594" s="65" t="s">
        <v>320</v>
      </c>
      <c r="F594" s="69">
        <f>F589*10.67</f>
        <v>195.04760000000002</v>
      </c>
      <c r="G594" s="70" t="s">
        <v>163</v>
      </c>
      <c r="H594" s="21">
        <v>0.1</v>
      </c>
      <c r="I594" s="47">
        <f t="shared" ref="I594" si="1056">IF(F594=0,"",F594+(F594*H594))</f>
        <v>214.55236000000002</v>
      </c>
      <c r="J594" s="265">
        <v>0.42</v>
      </c>
      <c r="K594" s="268">
        <f t="shared" ref="K594" si="1057">IF(F594=0,"",J594*I594)</f>
        <v>90.111991200000006</v>
      </c>
      <c r="L594" s="258">
        <f t="shared" ref="L594" si="1058">IF(F594=0,"",L$491)</f>
        <v>52</v>
      </c>
      <c r="M594" s="282">
        <v>1.4E-2</v>
      </c>
      <c r="N594" s="22">
        <f t="shared" ref="N594" si="1059">IF(F594=0,"",M594*I594)</f>
        <v>3.0037330400000002</v>
      </c>
      <c r="O594" s="268">
        <f t="shared" ref="O594" si="1060">IF(F594=0,"",N594*L594)</f>
        <v>156.19411808000001</v>
      </c>
      <c r="P594" s="23">
        <f t="shared" ref="P594" si="1061">IF(F594=0,"",(K594+O594)/I594)</f>
        <v>1.1479999999999999</v>
      </c>
      <c r="Q594" s="268">
        <f t="shared" ref="Q594" si="1062">IF(F594=0,"",(P594*I594))</f>
        <v>246.30610928000002</v>
      </c>
      <c r="R594" s="118"/>
    </row>
    <row r="595" spans="1:18" x14ac:dyDescent="0.35">
      <c r="A595" s="67" t="str">
        <f>IF(TRIM(G595)&lt;&gt;"",COUNTA(G$11:$G595)&amp;"","")</f>
        <v/>
      </c>
      <c r="B595" s="311"/>
      <c r="C595" s="311"/>
      <c r="D595" s="30"/>
      <c r="E595" s="65"/>
      <c r="F595" s="69"/>
      <c r="G595" s="70"/>
      <c r="H595" s="21"/>
      <c r="I595" s="47"/>
      <c r="J595" s="265"/>
      <c r="K595" s="268"/>
      <c r="L595" s="258"/>
      <c r="M595" s="282"/>
      <c r="N595" s="22"/>
      <c r="O595" s="268"/>
      <c r="P595" s="23"/>
      <c r="Q595" s="268"/>
      <c r="R595" s="118"/>
    </row>
    <row r="596" spans="1:18" x14ac:dyDescent="0.35">
      <c r="A596" s="67" t="str">
        <f>IF(TRIM(G596)&lt;&gt;"",COUNTA(G$11:$G596)&amp;"","")</f>
        <v>389</v>
      </c>
      <c r="B596" s="311"/>
      <c r="C596" s="311"/>
      <c r="D596" s="30"/>
      <c r="E596" s="238" t="s">
        <v>325</v>
      </c>
      <c r="F596" s="239">
        <v>17.25</v>
      </c>
      <c r="G596" s="245" t="s">
        <v>177</v>
      </c>
      <c r="H596" s="21"/>
      <c r="I596" s="47"/>
      <c r="J596" s="265"/>
      <c r="K596" s="268"/>
      <c r="L596" s="258"/>
      <c r="M596" s="282"/>
      <c r="N596" s="22"/>
      <c r="O596" s="268"/>
      <c r="P596" s="23"/>
      <c r="Q596" s="268"/>
      <c r="R596" s="118"/>
    </row>
    <row r="597" spans="1:18" x14ac:dyDescent="0.35">
      <c r="A597" s="67" t="str">
        <f>IF(TRIM(G597)&lt;&gt;"",COUNTA(G$11:$G597)&amp;"","")</f>
        <v>390</v>
      </c>
      <c r="B597" s="311"/>
      <c r="C597" s="311"/>
      <c r="D597" s="30"/>
      <c r="E597" s="65" t="s">
        <v>612</v>
      </c>
      <c r="F597" s="69">
        <v>14</v>
      </c>
      <c r="G597" s="70" t="s">
        <v>211</v>
      </c>
      <c r="H597" s="21">
        <v>0</v>
      </c>
      <c r="I597" s="47">
        <f t="shared" ref="I597:I599" si="1063">IF(F597=0,"",F597+(F597*H597))</f>
        <v>14</v>
      </c>
      <c r="J597" s="265">
        <f>10*0.48</f>
        <v>4.8</v>
      </c>
      <c r="K597" s="268">
        <f t="shared" ref="K597:K599" si="1064">IF(F597=0,"",J597*I597)</f>
        <v>67.2</v>
      </c>
      <c r="L597" s="258">
        <f t="shared" ref="L597:L599" si="1065">IF(F597=0,"",L$491)</f>
        <v>52</v>
      </c>
      <c r="M597" s="282">
        <f>10*0.0475</f>
        <v>0.47499999999999998</v>
      </c>
      <c r="N597" s="22">
        <f t="shared" ref="N597:N599" si="1066">IF(F597=0,"",M597*I597)</f>
        <v>6.6499999999999995</v>
      </c>
      <c r="O597" s="268">
        <f t="shared" ref="O597:O599" si="1067">IF(F597=0,"",N597*L597)</f>
        <v>345.79999999999995</v>
      </c>
      <c r="P597" s="23">
        <f t="shared" ref="P597:P599" si="1068">IF(F597=0,"",(K597+O597)/I597)</f>
        <v>29.499999999999996</v>
      </c>
      <c r="Q597" s="268">
        <f t="shared" ref="Q597:Q599" si="1069">IF(F597=0,"",(P597*I597))</f>
        <v>412.99999999999994</v>
      </c>
      <c r="R597" s="118"/>
    </row>
    <row r="598" spans="1:18" x14ac:dyDescent="0.35">
      <c r="A598" s="67" t="str">
        <f>IF(TRIM(G598)&lt;&gt;"",COUNTA(G$11:$G598)&amp;"","")</f>
        <v>391</v>
      </c>
      <c r="B598" s="311"/>
      <c r="C598" s="311"/>
      <c r="D598" s="30"/>
      <c r="E598" s="65" t="s">
        <v>613</v>
      </c>
      <c r="F598" s="69">
        <f>F596*2</f>
        <v>34.5</v>
      </c>
      <c r="G598" s="70" t="s">
        <v>177</v>
      </c>
      <c r="H598" s="21">
        <v>0.1</v>
      </c>
      <c r="I598" s="47">
        <f t="shared" si="1063"/>
        <v>37.950000000000003</v>
      </c>
      <c r="J598" s="265">
        <v>0.48</v>
      </c>
      <c r="K598" s="268">
        <f t="shared" si="1064"/>
        <v>18.216000000000001</v>
      </c>
      <c r="L598" s="258">
        <f t="shared" si="1065"/>
        <v>52</v>
      </c>
      <c r="M598" s="282">
        <v>4.7500000000000001E-2</v>
      </c>
      <c r="N598" s="22">
        <f t="shared" si="1066"/>
        <v>1.8026250000000001</v>
      </c>
      <c r="O598" s="268">
        <f t="shared" si="1067"/>
        <v>93.736500000000007</v>
      </c>
      <c r="P598" s="23">
        <f t="shared" si="1068"/>
        <v>2.95</v>
      </c>
      <c r="Q598" s="268">
        <f t="shared" si="1069"/>
        <v>111.95250000000001</v>
      </c>
      <c r="R598" s="118"/>
    </row>
    <row r="599" spans="1:18" x14ac:dyDescent="0.35">
      <c r="A599" s="67" t="str">
        <f>IF(TRIM(G599)&lt;&gt;"",COUNTA(G$11:$G599)&amp;"","")</f>
        <v>392</v>
      </c>
      <c r="B599" s="311"/>
      <c r="C599" s="311"/>
      <c r="D599" s="30"/>
      <c r="E599" s="65" t="s">
        <v>615</v>
      </c>
      <c r="F599" s="69">
        <f>F596</f>
        <v>17.25</v>
      </c>
      <c r="G599" s="70" t="s">
        <v>177</v>
      </c>
      <c r="H599" s="21">
        <v>0.1</v>
      </c>
      <c r="I599" s="47">
        <f t="shared" si="1063"/>
        <v>18.975000000000001</v>
      </c>
      <c r="J599" s="265">
        <f>7.72/8</f>
        <v>0.96499999999999997</v>
      </c>
      <c r="K599" s="268">
        <f t="shared" si="1064"/>
        <v>18.310874999999999</v>
      </c>
      <c r="L599" s="258">
        <f t="shared" si="1065"/>
        <v>52</v>
      </c>
      <c r="M599" s="282">
        <v>4.7500000000000001E-2</v>
      </c>
      <c r="N599" s="22">
        <f t="shared" si="1066"/>
        <v>0.90131250000000007</v>
      </c>
      <c r="O599" s="268">
        <f t="shared" si="1067"/>
        <v>46.868250000000003</v>
      </c>
      <c r="P599" s="23">
        <f t="shared" si="1068"/>
        <v>3.4349999999999996</v>
      </c>
      <c r="Q599" s="268">
        <f t="shared" si="1069"/>
        <v>65.179124999999999</v>
      </c>
      <c r="R599" s="118"/>
    </row>
    <row r="600" spans="1:18" x14ac:dyDescent="0.35">
      <c r="A600" s="67" t="str">
        <f>IF(TRIM(G600)&lt;&gt;"",COUNTA(G$11:$G600)&amp;"","")</f>
        <v>393</v>
      </c>
      <c r="B600" s="311"/>
      <c r="C600" s="311"/>
      <c r="D600" s="30"/>
      <c r="E600" s="65" t="s">
        <v>320</v>
      </c>
      <c r="F600" s="69">
        <f>F596*10*2</f>
        <v>345</v>
      </c>
      <c r="G600" s="70" t="s">
        <v>163</v>
      </c>
      <c r="H600" s="21">
        <v>0.1</v>
      </c>
      <c r="I600" s="47">
        <f t="shared" ref="I600" si="1070">IF(F600=0,"",F600+(F600*H600))</f>
        <v>379.5</v>
      </c>
      <c r="J600" s="265">
        <v>0.42</v>
      </c>
      <c r="K600" s="268">
        <f t="shared" ref="K600" si="1071">IF(F600=0,"",J600*I600)</f>
        <v>159.38999999999999</v>
      </c>
      <c r="L600" s="258">
        <f t="shared" ref="L600" si="1072">IF(F600=0,"",L$491)</f>
        <v>52</v>
      </c>
      <c r="M600" s="282">
        <v>1.4E-2</v>
      </c>
      <c r="N600" s="22">
        <f t="shared" ref="N600" si="1073">IF(F600=0,"",M600*I600)</f>
        <v>5.3129999999999997</v>
      </c>
      <c r="O600" s="268">
        <f t="shared" ref="O600" si="1074">IF(F600=0,"",N600*L600)</f>
        <v>276.27600000000001</v>
      </c>
      <c r="P600" s="23">
        <f t="shared" ref="P600" si="1075">IF(F600=0,"",(K600+O600)/I600)</f>
        <v>1.1479999999999999</v>
      </c>
      <c r="Q600" s="268">
        <f t="shared" ref="Q600" si="1076">IF(F600=0,"",(P600*I600))</f>
        <v>435.66599999999994</v>
      </c>
      <c r="R600" s="118"/>
    </row>
    <row r="601" spans="1:18" x14ac:dyDescent="0.35">
      <c r="A601" s="67" t="str">
        <f>IF(TRIM(G601)&lt;&gt;"",COUNTA(G$11:$G601)&amp;"","")</f>
        <v/>
      </c>
      <c r="B601" s="311"/>
      <c r="C601" s="311"/>
      <c r="D601" s="30"/>
      <c r="E601" s="65"/>
      <c r="F601" s="69"/>
      <c r="G601" s="70"/>
      <c r="H601" s="21"/>
      <c r="I601" s="47"/>
      <c r="J601" s="265"/>
      <c r="K601" s="268"/>
      <c r="L601" s="258"/>
      <c r="M601" s="282"/>
      <c r="N601" s="22"/>
      <c r="O601" s="268"/>
      <c r="P601" s="23"/>
      <c r="Q601" s="268"/>
      <c r="R601" s="118"/>
    </row>
    <row r="602" spans="1:18" x14ac:dyDescent="0.35">
      <c r="A602" s="67" t="str">
        <f>IF(TRIM(G602)&lt;&gt;"",COUNTA(G$11:$G602)&amp;"","")</f>
        <v>394</v>
      </c>
      <c r="B602" s="311"/>
      <c r="C602" s="311"/>
      <c r="D602" s="30"/>
      <c r="E602" s="238" t="s">
        <v>326</v>
      </c>
      <c r="F602" s="239">
        <v>17.25</v>
      </c>
      <c r="G602" s="245" t="s">
        <v>177</v>
      </c>
      <c r="H602" s="21"/>
      <c r="I602" s="47"/>
      <c r="J602" s="265"/>
      <c r="K602" s="268"/>
      <c r="L602" s="258"/>
      <c r="M602" s="282"/>
      <c r="N602" s="22"/>
      <c r="O602" s="268"/>
      <c r="P602" s="23"/>
      <c r="Q602" s="268"/>
      <c r="R602" s="118"/>
    </row>
    <row r="603" spans="1:18" x14ac:dyDescent="0.35">
      <c r="A603" s="67" t="str">
        <f>IF(TRIM(G603)&lt;&gt;"",COUNTA(G$11:$G603)&amp;"","")</f>
        <v>395</v>
      </c>
      <c r="B603" s="311"/>
      <c r="C603" s="311"/>
      <c r="D603" s="30"/>
      <c r="E603" s="65" t="s">
        <v>612</v>
      </c>
      <c r="F603" s="69">
        <v>3</v>
      </c>
      <c r="G603" s="70" t="s">
        <v>211</v>
      </c>
      <c r="H603" s="21">
        <v>0</v>
      </c>
      <c r="I603" s="47">
        <f t="shared" ref="I603:I605" si="1077">IF(F603=0,"",F603+(F603*H603))</f>
        <v>3</v>
      </c>
      <c r="J603" s="265">
        <f>10*0.48</f>
        <v>4.8</v>
      </c>
      <c r="K603" s="268">
        <f t="shared" ref="K603:K605" si="1078">IF(F603=0,"",J603*I603)</f>
        <v>14.399999999999999</v>
      </c>
      <c r="L603" s="258">
        <f t="shared" ref="L603:L605" si="1079">IF(F603=0,"",L$491)</f>
        <v>52</v>
      </c>
      <c r="M603" s="282">
        <f>10*0.0475</f>
        <v>0.47499999999999998</v>
      </c>
      <c r="N603" s="22">
        <f t="shared" ref="N603:N605" si="1080">IF(F603=0,"",M603*I603)</f>
        <v>1.4249999999999998</v>
      </c>
      <c r="O603" s="268">
        <f t="shared" ref="O603:O605" si="1081">IF(F603=0,"",N603*L603)</f>
        <v>74.099999999999994</v>
      </c>
      <c r="P603" s="23">
        <f t="shared" ref="P603:P605" si="1082">IF(F603=0,"",(K603+O603)/I603)</f>
        <v>29.5</v>
      </c>
      <c r="Q603" s="268">
        <f t="shared" ref="Q603:Q605" si="1083">IF(F603=0,"",(P603*I603))</f>
        <v>88.5</v>
      </c>
      <c r="R603" s="118"/>
    </row>
    <row r="604" spans="1:18" x14ac:dyDescent="0.35">
      <c r="A604" s="67" t="str">
        <f>IF(TRIM(G604)&lt;&gt;"",COUNTA(G$11:$G604)&amp;"","")</f>
        <v>396</v>
      </c>
      <c r="B604" s="311"/>
      <c r="C604" s="311"/>
      <c r="D604" s="30"/>
      <c r="E604" s="65" t="s">
        <v>613</v>
      </c>
      <c r="F604" s="69">
        <f>F602*2</f>
        <v>34.5</v>
      </c>
      <c r="G604" s="70" t="s">
        <v>177</v>
      </c>
      <c r="H604" s="21">
        <v>0.1</v>
      </c>
      <c r="I604" s="47">
        <f t="shared" si="1077"/>
        <v>37.950000000000003</v>
      </c>
      <c r="J604" s="265">
        <v>0.48</v>
      </c>
      <c r="K604" s="268">
        <f t="shared" si="1078"/>
        <v>18.216000000000001</v>
      </c>
      <c r="L604" s="258">
        <f t="shared" si="1079"/>
        <v>52</v>
      </c>
      <c r="M604" s="282">
        <v>4.7500000000000001E-2</v>
      </c>
      <c r="N604" s="22">
        <f t="shared" si="1080"/>
        <v>1.8026250000000001</v>
      </c>
      <c r="O604" s="268">
        <f t="shared" si="1081"/>
        <v>93.736500000000007</v>
      </c>
      <c r="P604" s="23">
        <f t="shared" si="1082"/>
        <v>2.95</v>
      </c>
      <c r="Q604" s="268">
        <f t="shared" si="1083"/>
        <v>111.95250000000001</v>
      </c>
      <c r="R604" s="118"/>
    </row>
    <row r="605" spans="1:18" x14ac:dyDescent="0.35">
      <c r="A605" s="67" t="str">
        <f>IF(TRIM(G605)&lt;&gt;"",COUNTA(G$11:$G605)&amp;"","")</f>
        <v>397</v>
      </c>
      <c r="B605" s="311"/>
      <c r="C605" s="311"/>
      <c r="D605" s="30"/>
      <c r="E605" s="65" t="s">
        <v>615</v>
      </c>
      <c r="F605" s="69">
        <f>F602</f>
        <v>17.25</v>
      </c>
      <c r="G605" s="70" t="s">
        <v>177</v>
      </c>
      <c r="H605" s="21">
        <v>0.1</v>
      </c>
      <c r="I605" s="47">
        <f t="shared" si="1077"/>
        <v>18.975000000000001</v>
      </c>
      <c r="J605" s="265">
        <f>7.72/8</f>
        <v>0.96499999999999997</v>
      </c>
      <c r="K605" s="268">
        <f t="shared" si="1078"/>
        <v>18.310874999999999</v>
      </c>
      <c r="L605" s="258">
        <f t="shared" si="1079"/>
        <v>52</v>
      </c>
      <c r="M605" s="282">
        <v>4.7500000000000001E-2</v>
      </c>
      <c r="N605" s="22">
        <f t="shared" si="1080"/>
        <v>0.90131250000000007</v>
      </c>
      <c r="O605" s="268">
        <f t="shared" si="1081"/>
        <v>46.868250000000003</v>
      </c>
      <c r="P605" s="23">
        <f t="shared" si="1082"/>
        <v>3.4349999999999996</v>
      </c>
      <c r="Q605" s="268">
        <f t="shared" si="1083"/>
        <v>65.179124999999999</v>
      </c>
      <c r="R605" s="118"/>
    </row>
    <row r="606" spans="1:18" x14ac:dyDescent="0.35">
      <c r="A606" s="67" t="str">
        <f>IF(TRIM(G606)&lt;&gt;"",COUNTA(G$11:$G606)&amp;"","")</f>
        <v>398</v>
      </c>
      <c r="B606" s="311"/>
      <c r="C606" s="311"/>
      <c r="D606" s="30"/>
      <c r="E606" s="65" t="s">
        <v>320</v>
      </c>
      <c r="F606" s="69">
        <f>F602*1.83</f>
        <v>31.567500000000003</v>
      </c>
      <c r="G606" s="70" t="s">
        <v>163</v>
      </c>
      <c r="H606" s="21">
        <v>0.1</v>
      </c>
      <c r="I606" s="47">
        <f t="shared" ref="I606" si="1084">IF(F606=0,"",F606+(F606*H606))</f>
        <v>34.724250000000005</v>
      </c>
      <c r="J606" s="265">
        <v>0.42</v>
      </c>
      <c r="K606" s="268">
        <f t="shared" ref="K606" si="1085">IF(F606=0,"",J606*I606)</f>
        <v>14.584185000000002</v>
      </c>
      <c r="L606" s="258">
        <f t="shared" ref="L606" si="1086">IF(F606=0,"",L$491)</f>
        <v>52</v>
      </c>
      <c r="M606" s="282">
        <v>1.4E-2</v>
      </c>
      <c r="N606" s="22">
        <f t="shared" ref="N606" si="1087">IF(F606=0,"",M606*I606)</f>
        <v>0.48613950000000006</v>
      </c>
      <c r="O606" s="268">
        <f t="shared" ref="O606" si="1088">IF(F606=0,"",N606*L606)</f>
        <v>25.279254000000002</v>
      </c>
      <c r="P606" s="23">
        <f t="shared" ref="P606" si="1089">IF(F606=0,"",(K606+O606)/I606)</f>
        <v>1.1479999999999999</v>
      </c>
      <c r="Q606" s="268">
        <f t="shared" ref="Q606" si="1090">IF(F606=0,"",(P606*I606))</f>
        <v>39.863439</v>
      </c>
      <c r="R606" s="118"/>
    </row>
    <row r="607" spans="1:18" x14ac:dyDescent="0.35">
      <c r="A607" s="67" t="str">
        <f>IF(TRIM(G607)&lt;&gt;"",COUNTA(G$11:$G607)&amp;"","")</f>
        <v/>
      </c>
      <c r="B607" s="311"/>
      <c r="C607" s="311"/>
      <c r="D607" s="30"/>
      <c r="E607" s="65"/>
      <c r="F607" s="69"/>
      <c r="G607" s="70"/>
      <c r="H607" s="21"/>
      <c r="I607" s="47"/>
      <c r="J607" s="265"/>
      <c r="K607" s="268"/>
      <c r="L607" s="258"/>
      <c r="M607" s="282"/>
      <c r="N607" s="22"/>
      <c r="O607" s="268"/>
      <c r="P607" s="23"/>
      <c r="Q607" s="268"/>
      <c r="R607" s="118"/>
    </row>
    <row r="608" spans="1:18" x14ac:dyDescent="0.35">
      <c r="A608" s="67" t="str">
        <f>IF(TRIM(G608)&lt;&gt;"",COUNTA(G$11:$G608)&amp;"","")</f>
        <v>399</v>
      </c>
      <c r="B608" s="311"/>
      <c r="C608" s="311"/>
      <c r="D608" s="30"/>
      <c r="E608" s="238" t="s">
        <v>327</v>
      </c>
      <c r="F608" s="239">
        <v>17.25</v>
      </c>
      <c r="G608" s="245" t="s">
        <v>177</v>
      </c>
      <c r="H608" s="21"/>
      <c r="I608" s="47"/>
      <c r="J608" s="265"/>
      <c r="K608" s="268"/>
      <c r="L608" s="258"/>
      <c r="M608" s="282"/>
      <c r="N608" s="22"/>
      <c r="O608" s="268"/>
      <c r="P608" s="23"/>
      <c r="Q608" s="268"/>
      <c r="R608" s="118"/>
    </row>
    <row r="609" spans="1:18" x14ac:dyDescent="0.35">
      <c r="A609" s="67" t="str">
        <f>IF(TRIM(G609)&lt;&gt;"",COUNTA(G$11:$G609)&amp;"","")</f>
        <v>400</v>
      </c>
      <c r="B609" s="311"/>
      <c r="C609" s="311"/>
      <c r="D609" s="30"/>
      <c r="E609" s="65" t="s">
        <v>612</v>
      </c>
      <c r="F609" s="69">
        <v>3</v>
      </c>
      <c r="G609" s="70" t="s">
        <v>211</v>
      </c>
      <c r="H609" s="21">
        <v>0</v>
      </c>
      <c r="I609" s="47">
        <f t="shared" ref="I609:I611" si="1091">IF(F609=0,"",F609+(F609*H609))</f>
        <v>3</v>
      </c>
      <c r="J609" s="265">
        <f>10*0.48</f>
        <v>4.8</v>
      </c>
      <c r="K609" s="268">
        <f t="shared" ref="K609:K611" si="1092">IF(F609=0,"",J609*I609)</f>
        <v>14.399999999999999</v>
      </c>
      <c r="L609" s="258">
        <f t="shared" ref="L609:L611" si="1093">IF(F609=0,"",L$491)</f>
        <v>52</v>
      </c>
      <c r="M609" s="282">
        <f>10*0.0475</f>
        <v>0.47499999999999998</v>
      </c>
      <c r="N609" s="22">
        <f t="shared" ref="N609:N611" si="1094">IF(F609=0,"",M609*I609)</f>
        <v>1.4249999999999998</v>
      </c>
      <c r="O609" s="268">
        <f t="shared" ref="O609:O611" si="1095">IF(F609=0,"",N609*L609)</f>
        <v>74.099999999999994</v>
      </c>
      <c r="P609" s="23">
        <f t="shared" ref="P609:P611" si="1096">IF(F609=0,"",(K609+O609)/I609)</f>
        <v>29.5</v>
      </c>
      <c r="Q609" s="268">
        <f t="shared" ref="Q609:Q611" si="1097">IF(F609=0,"",(P609*I609))</f>
        <v>88.5</v>
      </c>
      <c r="R609" s="118"/>
    </row>
    <row r="610" spans="1:18" x14ac:dyDescent="0.35">
      <c r="A610" s="67" t="str">
        <f>IF(TRIM(G610)&lt;&gt;"",COUNTA(G$11:$G610)&amp;"","")</f>
        <v>401</v>
      </c>
      <c r="B610" s="311"/>
      <c r="C610" s="311"/>
      <c r="D610" s="30"/>
      <c r="E610" s="65" t="s">
        <v>613</v>
      </c>
      <c r="F610" s="69">
        <f>F608*2</f>
        <v>34.5</v>
      </c>
      <c r="G610" s="70" t="s">
        <v>177</v>
      </c>
      <c r="H610" s="21">
        <v>0.1</v>
      </c>
      <c r="I610" s="47">
        <f t="shared" si="1091"/>
        <v>37.950000000000003</v>
      </c>
      <c r="J610" s="265">
        <v>0.48</v>
      </c>
      <c r="K610" s="268">
        <f t="shared" si="1092"/>
        <v>18.216000000000001</v>
      </c>
      <c r="L610" s="258">
        <f t="shared" si="1093"/>
        <v>52</v>
      </c>
      <c r="M610" s="282">
        <v>4.7500000000000001E-2</v>
      </c>
      <c r="N610" s="22">
        <f t="shared" si="1094"/>
        <v>1.8026250000000001</v>
      </c>
      <c r="O610" s="268">
        <f t="shared" si="1095"/>
        <v>93.736500000000007</v>
      </c>
      <c r="P610" s="23">
        <f t="shared" si="1096"/>
        <v>2.95</v>
      </c>
      <c r="Q610" s="268">
        <f t="shared" si="1097"/>
        <v>111.95250000000001</v>
      </c>
      <c r="R610" s="118"/>
    </row>
    <row r="611" spans="1:18" x14ac:dyDescent="0.35">
      <c r="A611" s="67" t="str">
        <f>IF(TRIM(G611)&lt;&gt;"",COUNTA(G$11:$G611)&amp;"","")</f>
        <v>402</v>
      </c>
      <c r="B611" s="311"/>
      <c r="C611" s="311"/>
      <c r="D611" s="30"/>
      <c r="E611" s="65" t="s">
        <v>615</v>
      </c>
      <c r="F611" s="69">
        <f>F608</f>
        <v>17.25</v>
      </c>
      <c r="G611" s="70" t="s">
        <v>177</v>
      </c>
      <c r="H611" s="21">
        <v>0.1</v>
      </c>
      <c r="I611" s="47">
        <f t="shared" si="1091"/>
        <v>18.975000000000001</v>
      </c>
      <c r="J611" s="265">
        <f>7.72/8</f>
        <v>0.96499999999999997</v>
      </c>
      <c r="K611" s="268">
        <f t="shared" si="1092"/>
        <v>18.310874999999999</v>
      </c>
      <c r="L611" s="258">
        <f t="shared" si="1093"/>
        <v>52</v>
      </c>
      <c r="M611" s="282">
        <v>4.7500000000000001E-2</v>
      </c>
      <c r="N611" s="22">
        <f t="shared" si="1094"/>
        <v>0.90131250000000007</v>
      </c>
      <c r="O611" s="268">
        <f t="shared" si="1095"/>
        <v>46.868250000000003</v>
      </c>
      <c r="P611" s="23">
        <f t="shared" si="1096"/>
        <v>3.4349999999999996</v>
      </c>
      <c r="Q611" s="268">
        <f t="shared" si="1097"/>
        <v>65.179124999999999</v>
      </c>
      <c r="R611" s="118"/>
    </row>
    <row r="612" spans="1:18" x14ac:dyDescent="0.35">
      <c r="A612" s="67" t="str">
        <f>IF(TRIM(G612)&lt;&gt;"",COUNTA(G$11:$G612)&amp;"","")</f>
        <v>403</v>
      </c>
      <c r="B612" s="311"/>
      <c r="C612" s="311"/>
      <c r="D612" s="30"/>
      <c r="E612" s="65" t="s">
        <v>320</v>
      </c>
      <c r="F612" s="69">
        <f>F608*1.67</f>
        <v>28.807499999999997</v>
      </c>
      <c r="G612" s="70" t="s">
        <v>163</v>
      </c>
      <c r="H612" s="21">
        <v>0.1</v>
      </c>
      <c r="I612" s="47">
        <f t="shared" ref="I612" si="1098">IF(F612=0,"",F612+(F612*H612))</f>
        <v>31.688249999999996</v>
      </c>
      <c r="J612" s="265">
        <v>0.42</v>
      </c>
      <c r="K612" s="268">
        <f t="shared" ref="K612" si="1099">IF(F612=0,"",J612*I612)</f>
        <v>13.309064999999999</v>
      </c>
      <c r="L612" s="258">
        <f t="shared" ref="L612" si="1100">IF(F612=0,"",L$491)</f>
        <v>52</v>
      </c>
      <c r="M612" s="282">
        <v>1.4E-2</v>
      </c>
      <c r="N612" s="22">
        <f t="shared" ref="N612" si="1101">IF(F612=0,"",M612*I612)</f>
        <v>0.44363549999999996</v>
      </c>
      <c r="O612" s="268">
        <f t="shared" ref="O612" si="1102">IF(F612=0,"",N612*L612)</f>
        <v>23.069045999999997</v>
      </c>
      <c r="P612" s="23">
        <f t="shared" ref="P612" si="1103">IF(F612=0,"",(K612+O612)/I612)</f>
        <v>1.1480000000000001</v>
      </c>
      <c r="Q612" s="268">
        <f t="shared" ref="Q612" si="1104">IF(F612=0,"",(P612*I612))</f>
        <v>36.378110999999997</v>
      </c>
      <c r="R612" s="118"/>
    </row>
    <row r="613" spans="1:18" x14ac:dyDescent="0.35">
      <c r="A613" s="67" t="str">
        <f>IF(TRIM(G613)&lt;&gt;"",COUNTA(G$11:$G613)&amp;"","")</f>
        <v/>
      </c>
      <c r="B613" s="311"/>
      <c r="C613" s="311"/>
      <c r="D613" s="30"/>
      <c r="E613" s="65"/>
      <c r="F613" s="69"/>
      <c r="G613" s="70"/>
      <c r="H613" s="21"/>
      <c r="I613" s="47"/>
      <c r="J613" s="265"/>
      <c r="K613" s="268"/>
      <c r="L613" s="258"/>
      <c r="M613" s="282"/>
      <c r="N613" s="22"/>
      <c r="O613" s="268"/>
      <c r="P613" s="23"/>
      <c r="Q613" s="268"/>
      <c r="R613" s="118"/>
    </row>
    <row r="614" spans="1:18" x14ac:dyDescent="0.35">
      <c r="A614" s="67" t="str">
        <f>IF(TRIM(G614)&lt;&gt;"",COUNTA(G$11:$G614)&amp;"","")</f>
        <v>404</v>
      </c>
      <c r="B614" s="311"/>
      <c r="C614" s="311"/>
      <c r="D614" s="30"/>
      <c r="E614" s="238" t="s">
        <v>328</v>
      </c>
      <c r="F614" s="239">
        <v>13.6</v>
      </c>
      <c r="G614" s="245" t="s">
        <v>177</v>
      </c>
      <c r="H614" s="21"/>
      <c r="I614" s="47"/>
      <c r="J614" s="265"/>
      <c r="K614" s="268"/>
      <c r="L614" s="258"/>
      <c r="M614" s="282"/>
      <c r="N614" s="22"/>
      <c r="O614" s="268"/>
      <c r="P614" s="23"/>
      <c r="Q614" s="268"/>
      <c r="R614" s="118"/>
    </row>
    <row r="615" spans="1:18" x14ac:dyDescent="0.35">
      <c r="A615" s="67" t="str">
        <f>IF(TRIM(G615)&lt;&gt;"",COUNTA(G$11:$G615)&amp;"","")</f>
        <v>405</v>
      </c>
      <c r="B615" s="311"/>
      <c r="C615" s="311"/>
      <c r="D615" s="30"/>
      <c r="E615" s="65" t="s">
        <v>622</v>
      </c>
      <c r="F615" s="69">
        <v>11</v>
      </c>
      <c r="G615" s="70" t="s">
        <v>211</v>
      </c>
      <c r="H615" s="21">
        <v>0</v>
      </c>
      <c r="I615" s="47">
        <f t="shared" ref="I615:I617" si="1105">IF(F615=0,"",F615+(F615*H615))</f>
        <v>11</v>
      </c>
      <c r="J615" s="265">
        <f>12*0.48</f>
        <v>5.76</v>
      </c>
      <c r="K615" s="268">
        <f t="shared" ref="K615" si="1106">IF(F615=0,"",J615*I615)</f>
        <v>63.36</v>
      </c>
      <c r="L615" s="258">
        <f t="shared" ref="L615" si="1107">IF(F615=0,"",L$491)</f>
        <v>52</v>
      </c>
      <c r="M615" s="282">
        <f>12*0.0475</f>
        <v>0.57000000000000006</v>
      </c>
      <c r="N615" s="22">
        <f t="shared" ref="N615:N617" si="1108">IF(F615=0,"",M615*I615)</f>
        <v>6.2700000000000005</v>
      </c>
      <c r="O615" s="268">
        <f t="shared" ref="O615:O617" si="1109">IF(F615=0,"",N615*L615)</f>
        <v>326.04000000000002</v>
      </c>
      <c r="P615" s="23">
        <f t="shared" ref="P615:P617" si="1110">IF(F615=0,"",(K615+O615)/I615)</f>
        <v>35.400000000000006</v>
      </c>
      <c r="Q615" s="268">
        <f t="shared" ref="Q615:Q617" si="1111">IF(F615=0,"",(P615*I615))</f>
        <v>389.40000000000009</v>
      </c>
      <c r="R615" s="118"/>
    </row>
    <row r="616" spans="1:18" x14ac:dyDescent="0.35">
      <c r="A616" s="67" t="str">
        <f>IF(TRIM(G616)&lt;&gt;"",COUNTA(G$11:$G616)&amp;"","")</f>
        <v>406</v>
      </c>
      <c r="B616" s="311"/>
      <c r="C616" s="311"/>
      <c r="D616" s="30"/>
      <c r="E616" s="65" t="s">
        <v>613</v>
      </c>
      <c r="F616" s="69">
        <f>F614*2</f>
        <v>27.2</v>
      </c>
      <c r="G616" s="70" t="s">
        <v>177</v>
      </c>
      <c r="H616" s="21">
        <v>0</v>
      </c>
      <c r="I616" s="47">
        <f t="shared" si="1105"/>
        <v>27.2</v>
      </c>
      <c r="J616" s="265">
        <v>0.48</v>
      </c>
      <c r="K616" s="268">
        <f t="shared" ref="K616:K617" si="1112">IF(F616=0,"",J616*I616)</f>
        <v>13.055999999999999</v>
      </c>
      <c r="L616" s="258">
        <f t="shared" ref="L616:L617" si="1113">IF(F616=0,"",L$491)</f>
        <v>52</v>
      </c>
      <c r="M616" s="282">
        <v>4.7500000000000001E-2</v>
      </c>
      <c r="N616" s="22">
        <f t="shared" si="1108"/>
        <v>1.292</v>
      </c>
      <c r="O616" s="268">
        <f t="shared" si="1109"/>
        <v>67.183999999999997</v>
      </c>
      <c r="P616" s="23">
        <f t="shared" si="1110"/>
        <v>2.9499999999999997</v>
      </c>
      <c r="Q616" s="268">
        <f t="shared" si="1111"/>
        <v>80.239999999999995</v>
      </c>
      <c r="R616" s="118"/>
    </row>
    <row r="617" spans="1:18" x14ac:dyDescent="0.35">
      <c r="A617" s="67" t="str">
        <f>IF(TRIM(G617)&lt;&gt;"",COUNTA(G$11:$G617)&amp;"","")</f>
        <v>407</v>
      </c>
      <c r="B617" s="311"/>
      <c r="C617" s="311"/>
      <c r="D617" s="30"/>
      <c r="E617" s="65" t="s">
        <v>615</v>
      </c>
      <c r="F617" s="69">
        <f>F614</f>
        <v>13.6</v>
      </c>
      <c r="G617" s="70" t="s">
        <v>177</v>
      </c>
      <c r="H617" s="21">
        <v>0</v>
      </c>
      <c r="I617" s="47">
        <f t="shared" si="1105"/>
        <v>13.6</v>
      </c>
      <c r="J617" s="265">
        <f>7.72/8</f>
        <v>0.96499999999999997</v>
      </c>
      <c r="K617" s="268">
        <f t="shared" si="1112"/>
        <v>13.123999999999999</v>
      </c>
      <c r="L617" s="258">
        <f t="shared" si="1113"/>
        <v>52</v>
      </c>
      <c r="M617" s="282">
        <v>4.7500000000000001E-2</v>
      </c>
      <c r="N617" s="22">
        <f t="shared" si="1108"/>
        <v>0.64600000000000002</v>
      </c>
      <c r="O617" s="268">
        <f t="shared" si="1109"/>
        <v>33.591999999999999</v>
      </c>
      <c r="P617" s="23">
        <f t="shared" si="1110"/>
        <v>3.4349999999999996</v>
      </c>
      <c r="Q617" s="268">
        <f t="shared" si="1111"/>
        <v>46.715999999999994</v>
      </c>
      <c r="R617" s="118"/>
    </row>
    <row r="618" spans="1:18" x14ac:dyDescent="0.35">
      <c r="A618" s="67" t="str">
        <f>IF(TRIM(G618)&lt;&gt;"",COUNTA(G$11:$G618)&amp;"","")</f>
        <v>408</v>
      </c>
      <c r="B618" s="311"/>
      <c r="C618" s="311"/>
      <c r="D618" s="30"/>
      <c r="E618" s="65" t="s">
        <v>320</v>
      </c>
      <c r="F618" s="69">
        <f>F614*10.83</f>
        <v>147.28800000000001</v>
      </c>
      <c r="G618" s="70" t="s">
        <v>163</v>
      </c>
      <c r="H618" s="21">
        <v>0.1</v>
      </c>
      <c r="I618" s="47">
        <f t="shared" ref="I618" si="1114">IF(F618=0,"",F618+(F618*H618))</f>
        <v>162.01680000000002</v>
      </c>
      <c r="J618" s="265">
        <v>0.42</v>
      </c>
      <c r="K618" s="268">
        <f t="shared" ref="K618" si="1115">IF(F618=0,"",J618*I618)</f>
        <v>68.047056000000012</v>
      </c>
      <c r="L618" s="258">
        <f t="shared" ref="L618" si="1116">IF(F618=0,"",L$491)</f>
        <v>52</v>
      </c>
      <c r="M618" s="282">
        <v>1.4E-2</v>
      </c>
      <c r="N618" s="22">
        <f t="shared" ref="N618" si="1117">IF(F618=0,"",M618*I618)</f>
        <v>2.2682352000000003</v>
      </c>
      <c r="O618" s="268">
        <f t="shared" ref="O618" si="1118">IF(F618=0,"",N618*L618)</f>
        <v>117.94823040000001</v>
      </c>
      <c r="P618" s="23">
        <f t="shared" ref="P618" si="1119">IF(F618=0,"",(K618+O618)/I618)</f>
        <v>1.1480000000000001</v>
      </c>
      <c r="Q618" s="268">
        <f t="shared" ref="Q618" si="1120">IF(F618=0,"",(P618*I618))</f>
        <v>185.99528640000005</v>
      </c>
      <c r="R618" s="118"/>
    </row>
    <row r="619" spans="1:18" x14ac:dyDescent="0.35">
      <c r="A619" s="67" t="str">
        <f>IF(TRIM(G619)&lt;&gt;"",COUNTA(G$11:$G619)&amp;"","")</f>
        <v/>
      </c>
      <c r="B619" s="311"/>
      <c r="C619" s="311"/>
      <c r="D619" s="30"/>
      <c r="E619" s="65"/>
      <c r="F619" s="69"/>
      <c r="G619" s="70"/>
      <c r="H619" s="21"/>
      <c r="I619" s="47"/>
      <c r="J619" s="265"/>
      <c r="K619" s="268"/>
      <c r="L619" s="258"/>
      <c r="M619" s="282"/>
      <c r="N619" s="22"/>
      <c r="O619" s="268"/>
      <c r="P619" s="23"/>
      <c r="Q619" s="268"/>
      <c r="R619" s="118"/>
    </row>
    <row r="620" spans="1:18" x14ac:dyDescent="0.35">
      <c r="A620" s="67" t="str">
        <f>IF(TRIM(G620)&lt;&gt;"",COUNTA(G$11:$G620)&amp;"","")</f>
        <v/>
      </c>
      <c r="B620" s="311"/>
      <c r="C620" s="311"/>
      <c r="D620" s="30"/>
      <c r="E620" s="243" t="s">
        <v>318</v>
      </c>
      <c r="F620" s="69"/>
      <c r="G620" s="70"/>
      <c r="H620" s="21"/>
      <c r="I620" s="47"/>
      <c r="J620" s="265"/>
      <c r="K620" s="268"/>
      <c r="L620" s="258"/>
      <c r="M620" s="282"/>
      <c r="N620" s="22"/>
      <c r="O620" s="268"/>
      <c r="P620" s="23"/>
      <c r="Q620" s="268"/>
      <c r="R620" s="118"/>
    </row>
    <row r="621" spans="1:18" x14ac:dyDescent="0.35">
      <c r="A621" s="67" t="str">
        <f>IF(TRIM(G621)&lt;&gt;"",COUNTA(G$11:$G621)&amp;"","")</f>
        <v>409</v>
      </c>
      <c r="B621" s="311"/>
      <c r="C621" s="311"/>
      <c r="D621" s="30"/>
      <c r="E621" s="238" t="s">
        <v>330</v>
      </c>
      <c r="F621" s="239">
        <v>13.5</v>
      </c>
      <c r="G621" s="245" t="s">
        <v>177</v>
      </c>
      <c r="H621" s="21"/>
      <c r="I621" s="47"/>
      <c r="J621" s="265"/>
      <c r="K621" s="268"/>
      <c r="L621" s="258"/>
      <c r="M621" s="282"/>
      <c r="N621" s="22"/>
      <c r="O621" s="268"/>
      <c r="P621" s="23"/>
      <c r="Q621" s="268"/>
      <c r="R621" s="118"/>
    </row>
    <row r="622" spans="1:18" x14ac:dyDescent="0.35">
      <c r="A622" s="67" t="str">
        <f>IF(TRIM(G622)&lt;&gt;"",COUNTA(G$11:$G622)&amp;"","")</f>
        <v>410</v>
      </c>
      <c r="B622" s="311"/>
      <c r="C622" s="311"/>
      <c r="D622" s="30"/>
      <c r="E622" s="65" t="s">
        <v>622</v>
      </c>
      <c r="F622" s="69">
        <v>11</v>
      </c>
      <c r="G622" s="70" t="s">
        <v>211</v>
      </c>
      <c r="H622" s="21">
        <v>0</v>
      </c>
      <c r="I622" s="47">
        <f t="shared" ref="I622:I624" si="1121">IF(F622=0,"",F622+(F622*H622))</f>
        <v>11</v>
      </c>
      <c r="J622" s="265">
        <f>12*0.48</f>
        <v>5.76</v>
      </c>
      <c r="K622" s="268">
        <f t="shared" ref="K622:K624" si="1122">IF(F622=0,"",J622*I622)</f>
        <v>63.36</v>
      </c>
      <c r="L622" s="258">
        <f t="shared" ref="L622:L624" si="1123">IF(F622=0,"",L$491)</f>
        <v>52</v>
      </c>
      <c r="M622" s="282">
        <f>12*0.0475</f>
        <v>0.57000000000000006</v>
      </c>
      <c r="N622" s="22">
        <f t="shared" ref="N622:N624" si="1124">IF(F622=0,"",M622*I622)</f>
        <v>6.2700000000000005</v>
      </c>
      <c r="O622" s="268">
        <f t="shared" ref="O622:O624" si="1125">IF(F622=0,"",N622*L622)</f>
        <v>326.04000000000002</v>
      </c>
      <c r="P622" s="23">
        <f t="shared" ref="P622:P624" si="1126">IF(F622=0,"",(K622+O622)/I622)</f>
        <v>35.400000000000006</v>
      </c>
      <c r="Q622" s="268">
        <f t="shared" ref="Q622:Q624" si="1127">IF(F622=0,"",(P622*I622))</f>
        <v>389.40000000000009</v>
      </c>
      <c r="R622" s="118"/>
    </row>
    <row r="623" spans="1:18" x14ac:dyDescent="0.35">
      <c r="A623" s="67" t="str">
        <f>IF(TRIM(G623)&lt;&gt;"",COUNTA(G$11:$G623)&amp;"","")</f>
        <v>411</v>
      </c>
      <c r="B623" s="311"/>
      <c r="C623" s="311"/>
      <c r="D623" s="30"/>
      <c r="E623" s="65" t="s">
        <v>613</v>
      </c>
      <c r="F623" s="69">
        <f>F621*2</f>
        <v>27</v>
      </c>
      <c r="G623" s="70" t="s">
        <v>177</v>
      </c>
      <c r="H623" s="21">
        <v>0.1</v>
      </c>
      <c r="I623" s="47">
        <f t="shared" si="1121"/>
        <v>29.7</v>
      </c>
      <c r="J623" s="265">
        <v>0.48</v>
      </c>
      <c r="K623" s="268">
        <f t="shared" si="1122"/>
        <v>14.255999999999998</v>
      </c>
      <c r="L623" s="258">
        <f t="shared" si="1123"/>
        <v>52</v>
      </c>
      <c r="M623" s="282">
        <v>4.7500000000000001E-2</v>
      </c>
      <c r="N623" s="22">
        <f t="shared" si="1124"/>
        <v>1.4107499999999999</v>
      </c>
      <c r="O623" s="268">
        <f t="shared" si="1125"/>
        <v>73.358999999999995</v>
      </c>
      <c r="P623" s="23">
        <f t="shared" si="1126"/>
        <v>2.9499999999999997</v>
      </c>
      <c r="Q623" s="268">
        <f t="shared" si="1127"/>
        <v>87.614999999999995</v>
      </c>
      <c r="R623" s="118"/>
    </row>
    <row r="624" spans="1:18" x14ac:dyDescent="0.35">
      <c r="A624" s="67" t="str">
        <f>IF(TRIM(G624)&lt;&gt;"",COUNTA(G$11:$G624)&amp;"","")</f>
        <v>412</v>
      </c>
      <c r="B624" s="311"/>
      <c r="C624" s="311"/>
      <c r="D624" s="30"/>
      <c r="E624" s="65" t="s">
        <v>615</v>
      </c>
      <c r="F624" s="69">
        <f>F621</f>
        <v>13.5</v>
      </c>
      <c r="G624" s="70" t="s">
        <v>177</v>
      </c>
      <c r="H624" s="21">
        <v>0.1</v>
      </c>
      <c r="I624" s="47">
        <f t="shared" si="1121"/>
        <v>14.85</v>
      </c>
      <c r="J624" s="265">
        <f>7.72/8</f>
        <v>0.96499999999999997</v>
      </c>
      <c r="K624" s="268">
        <f t="shared" si="1122"/>
        <v>14.330249999999999</v>
      </c>
      <c r="L624" s="258">
        <f t="shared" si="1123"/>
        <v>52</v>
      </c>
      <c r="M624" s="282">
        <v>4.7500000000000001E-2</v>
      </c>
      <c r="N624" s="22">
        <f t="shared" si="1124"/>
        <v>0.70537499999999997</v>
      </c>
      <c r="O624" s="268">
        <f t="shared" si="1125"/>
        <v>36.679499999999997</v>
      </c>
      <c r="P624" s="23">
        <f t="shared" si="1126"/>
        <v>3.4350000000000001</v>
      </c>
      <c r="Q624" s="268">
        <f t="shared" si="1127"/>
        <v>51.009749999999997</v>
      </c>
      <c r="R624" s="118"/>
    </row>
    <row r="625" spans="1:18" x14ac:dyDescent="0.35">
      <c r="A625" s="67" t="str">
        <f>IF(TRIM(G625)&lt;&gt;"",COUNTA(G$11:$G625)&amp;"","")</f>
        <v>413</v>
      </c>
      <c r="B625" s="311"/>
      <c r="C625" s="311"/>
      <c r="D625" s="30"/>
      <c r="E625" s="65" t="s">
        <v>320</v>
      </c>
      <c r="F625" s="69">
        <f>F621*10.83</f>
        <v>146.20500000000001</v>
      </c>
      <c r="G625" s="70" t="s">
        <v>163</v>
      </c>
      <c r="H625" s="21">
        <v>0.1</v>
      </c>
      <c r="I625" s="47">
        <f t="shared" ref="I625:I626" si="1128">IF(F625=0,"",F625+(F625*H625))</f>
        <v>160.82550000000001</v>
      </c>
      <c r="J625" s="265">
        <v>0.42</v>
      </c>
      <c r="K625" s="268">
        <f t="shared" ref="K625" si="1129">IF(F625=0,"",J625*I625)</f>
        <v>67.546710000000004</v>
      </c>
      <c r="L625" s="258">
        <f t="shared" ref="L625" si="1130">IF(F625=0,"",L$491)</f>
        <v>52</v>
      </c>
      <c r="M625" s="282">
        <v>1.4E-2</v>
      </c>
      <c r="N625" s="22">
        <f t="shared" ref="N625:N626" si="1131">IF(F625=0,"",M625*I625)</f>
        <v>2.251557</v>
      </c>
      <c r="O625" s="268">
        <f t="shared" ref="O625:O626" si="1132">IF(F625=0,"",N625*L625)</f>
        <v>117.08096399999999</v>
      </c>
      <c r="P625" s="23">
        <f t="shared" ref="P625:P626" si="1133">IF(F625=0,"",(K625+O625)/I625)</f>
        <v>1.1480000000000001</v>
      </c>
      <c r="Q625" s="268">
        <f t="shared" ref="Q625:Q626" si="1134">IF(F625=0,"",(P625*I625))</f>
        <v>184.62767400000001</v>
      </c>
      <c r="R625" s="118"/>
    </row>
    <row r="626" spans="1:18" x14ac:dyDescent="0.35">
      <c r="A626" s="67" t="str">
        <f>IF(TRIM(G626)&lt;&gt;"",COUNTA(G$11:$G626)&amp;"","")</f>
        <v>414</v>
      </c>
      <c r="B626" s="311"/>
      <c r="C626" s="311"/>
      <c r="D626" s="30"/>
      <c r="E626" s="65" t="s">
        <v>588</v>
      </c>
      <c r="F626" s="69">
        <f>F621*10.83</f>
        <v>146.20500000000001</v>
      </c>
      <c r="G626" s="70" t="s">
        <v>163</v>
      </c>
      <c r="H626" s="21">
        <v>0.1</v>
      </c>
      <c r="I626" s="47">
        <f t="shared" si="1128"/>
        <v>160.82550000000001</v>
      </c>
      <c r="J626" s="265">
        <v>0.42</v>
      </c>
      <c r="K626" s="268">
        <f t="shared" ref="K626" si="1135">IF(F626=0,"",J626*I626)</f>
        <v>67.546710000000004</v>
      </c>
      <c r="L626" s="258">
        <f>IF(F626=0,"",L$491)</f>
        <v>52</v>
      </c>
      <c r="M626" s="282">
        <v>0.01</v>
      </c>
      <c r="N626" s="22">
        <f t="shared" si="1131"/>
        <v>1.608255</v>
      </c>
      <c r="O626" s="268">
        <f t="shared" si="1132"/>
        <v>83.629260000000002</v>
      </c>
      <c r="P626" s="23">
        <f t="shared" si="1133"/>
        <v>0.94000000000000006</v>
      </c>
      <c r="Q626" s="268">
        <f t="shared" si="1134"/>
        <v>151.17597000000001</v>
      </c>
      <c r="R626" s="118"/>
    </row>
    <row r="627" spans="1:18" x14ac:dyDescent="0.35">
      <c r="A627" s="67" t="str">
        <f>IF(TRIM(G627)&lt;&gt;"",COUNTA(G$11:$G627)&amp;"","")</f>
        <v/>
      </c>
      <c r="B627" s="311"/>
      <c r="C627" s="311"/>
      <c r="D627" s="30"/>
      <c r="E627" s="65"/>
      <c r="F627" s="69"/>
      <c r="G627" s="70"/>
      <c r="H627" s="21"/>
      <c r="I627" s="47"/>
      <c r="J627" s="265"/>
      <c r="K627" s="268"/>
      <c r="L627" s="258"/>
      <c r="M627" s="282"/>
      <c r="N627" s="22"/>
      <c r="O627" s="268"/>
      <c r="P627" s="23"/>
      <c r="Q627" s="268"/>
      <c r="R627" s="118"/>
    </row>
    <row r="628" spans="1:18" x14ac:dyDescent="0.35">
      <c r="A628" s="67" t="str">
        <f>IF(TRIM(G628)&lt;&gt;"",COUNTA(G$11:$G628)&amp;"","")</f>
        <v>415</v>
      </c>
      <c r="B628" s="311"/>
      <c r="C628" s="311"/>
      <c r="D628" s="30"/>
      <c r="E628" s="238" t="s">
        <v>319</v>
      </c>
      <c r="F628" s="239">
        <v>18.28</v>
      </c>
      <c r="G628" s="245" t="s">
        <v>177</v>
      </c>
      <c r="H628" s="21"/>
      <c r="I628" s="47"/>
      <c r="J628" s="265"/>
      <c r="K628" s="268"/>
      <c r="L628" s="258"/>
      <c r="M628" s="282"/>
      <c r="N628" s="22"/>
      <c r="O628" s="268"/>
      <c r="P628" s="23"/>
      <c r="Q628" s="268"/>
      <c r="R628" s="118"/>
    </row>
    <row r="629" spans="1:18" x14ac:dyDescent="0.35">
      <c r="A629" s="67" t="str">
        <f>IF(TRIM(G629)&lt;&gt;"",COUNTA(G$11:$G629)&amp;"","")</f>
        <v>416</v>
      </c>
      <c r="B629" s="311"/>
      <c r="C629" s="311"/>
      <c r="D629" s="30"/>
      <c r="E629" s="65" t="s">
        <v>623</v>
      </c>
      <c r="F629" s="69">
        <v>15</v>
      </c>
      <c r="G629" s="70" t="s">
        <v>211</v>
      </c>
      <c r="H629" s="21">
        <v>0</v>
      </c>
      <c r="I629" s="47">
        <f t="shared" ref="I629:I632" si="1136">IF(F629=0,"",F629+(F629*H629))</f>
        <v>15</v>
      </c>
      <c r="J629" s="265">
        <f>0.78*22</f>
        <v>17.16</v>
      </c>
      <c r="K629" s="268">
        <f t="shared" ref="K629:K631" si="1137">IF(F629=0,"",J629*I629)</f>
        <v>257.39999999999998</v>
      </c>
      <c r="L629" s="258">
        <f t="shared" ref="L629:L631" si="1138">IF(F629=0,"",L$491)</f>
        <v>52</v>
      </c>
      <c r="M629" s="282">
        <f>0.0543*22</f>
        <v>1.1946000000000001</v>
      </c>
      <c r="N629" s="22">
        <f t="shared" ref="N629:N631" si="1139">IF(F629=0,"",M629*I629)</f>
        <v>17.919</v>
      </c>
      <c r="O629" s="268">
        <f t="shared" ref="O629:O631" si="1140">IF(F629=0,"",N629*L629)</f>
        <v>931.78800000000001</v>
      </c>
      <c r="P629" s="23">
        <f t="shared" ref="P629:P631" si="1141">IF(F629=0,"",(K629+O629)/I629)</f>
        <v>79.279200000000003</v>
      </c>
      <c r="Q629" s="268">
        <f t="shared" ref="Q629:Q631" si="1142">IF(F629=0,"",(P629*I629))</f>
        <v>1189.1880000000001</v>
      </c>
      <c r="R629" s="118"/>
    </row>
    <row r="630" spans="1:18" x14ac:dyDescent="0.35">
      <c r="A630" s="67" t="str">
        <f>IF(TRIM(G630)&lt;&gt;"",COUNTA(G$11:$G630)&amp;"","")</f>
        <v>417</v>
      </c>
      <c r="B630" s="311"/>
      <c r="C630" s="311"/>
      <c r="D630" s="30"/>
      <c r="E630" s="65" t="s">
        <v>620</v>
      </c>
      <c r="F630" s="69">
        <f>F628*2</f>
        <v>36.56</v>
      </c>
      <c r="G630" s="70" t="s">
        <v>177</v>
      </c>
      <c r="H630" s="21">
        <v>0.1</v>
      </c>
      <c r="I630" s="47">
        <f t="shared" si="1136"/>
        <v>40.216000000000001</v>
      </c>
      <c r="J630" s="265">
        <v>0.78</v>
      </c>
      <c r="K630" s="268">
        <f t="shared" si="1137"/>
        <v>31.368480000000002</v>
      </c>
      <c r="L630" s="258">
        <f t="shared" si="1138"/>
        <v>52</v>
      </c>
      <c r="M630" s="282">
        <v>5.4300000000000001E-2</v>
      </c>
      <c r="N630" s="22">
        <f t="shared" si="1139"/>
        <v>2.1837287999999999</v>
      </c>
      <c r="O630" s="268">
        <f t="shared" si="1140"/>
        <v>113.5538976</v>
      </c>
      <c r="P630" s="23">
        <f t="shared" si="1141"/>
        <v>3.6036000000000001</v>
      </c>
      <c r="Q630" s="268">
        <f t="shared" si="1142"/>
        <v>144.9223776</v>
      </c>
      <c r="R630" s="118"/>
    </row>
    <row r="631" spans="1:18" x14ac:dyDescent="0.35">
      <c r="A631" s="67" t="str">
        <f>IF(TRIM(G631)&lt;&gt;"",COUNTA(G$11:$G631)&amp;"","")</f>
        <v>418</v>
      </c>
      <c r="B631" s="311"/>
      <c r="C631" s="311"/>
      <c r="D631" s="30"/>
      <c r="E631" s="65" t="s">
        <v>624</v>
      </c>
      <c r="F631" s="69">
        <f>F628</f>
        <v>18.28</v>
      </c>
      <c r="G631" s="70" t="s">
        <v>177</v>
      </c>
      <c r="H631" s="21">
        <v>0.1</v>
      </c>
      <c r="I631" s="47">
        <f t="shared" si="1136"/>
        <v>20.108000000000001</v>
      </c>
      <c r="J631" s="265">
        <f>10.58/8</f>
        <v>1.3225</v>
      </c>
      <c r="K631" s="268">
        <f t="shared" si="1137"/>
        <v>26.592829999999999</v>
      </c>
      <c r="L631" s="258">
        <f t="shared" si="1138"/>
        <v>52</v>
      </c>
      <c r="M631" s="282">
        <v>5.4300000000000001E-2</v>
      </c>
      <c r="N631" s="22">
        <f t="shared" si="1139"/>
        <v>1.0918644</v>
      </c>
      <c r="O631" s="268">
        <f t="shared" si="1140"/>
        <v>56.7769488</v>
      </c>
      <c r="P631" s="23">
        <f t="shared" si="1141"/>
        <v>4.1461000000000006</v>
      </c>
      <c r="Q631" s="268">
        <f t="shared" si="1142"/>
        <v>83.36977880000002</v>
      </c>
      <c r="R631" s="118"/>
    </row>
    <row r="632" spans="1:18" x14ac:dyDescent="0.35">
      <c r="A632" s="67" t="str">
        <f>IF(TRIM(G632)&lt;&gt;"",COUNTA(G$11:$G632)&amp;"","")</f>
        <v>419</v>
      </c>
      <c r="B632" s="311"/>
      <c r="C632" s="311"/>
      <c r="D632" s="30"/>
      <c r="E632" s="65" t="s">
        <v>320</v>
      </c>
      <c r="F632" s="69">
        <f>F628*20.33</f>
        <v>371.63240000000002</v>
      </c>
      <c r="G632" s="70" t="s">
        <v>163</v>
      </c>
      <c r="H632" s="21">
        <v>0.1</v>
      </c>
      <c r="I632" s="47">
        <f t="shared" si="1136"/>
        <v>408.79564000000005</v>
      </c>
      <c r="J632" s="265">
        <v>0.42</v>
      </c>
      <c r="K632" s="268">
        <f t="shared" ref="K632" si="1143">IF(F632=0,"",J632*I632)</f>
        <v>171.6941688</v>
      </c>
      <c r="L632" s="258">
        <f t="shared" ref="L632" si="1144">IF(F632=0,"",L$491)</f>
        <v>52</v>
      </c>
      <c r="M632" s="282">
        <v>1.4E-2</v>
      </c>
      <c r="N632" s="22">
        <f t="shared" ref="N632" si="1145">IF(F632=0,"",M632*I632)</f>
        <v>5.7231389600000009</v>
      </c>
      <c r="O632" s="268">
        <f t="shared" ref="O632" si="1146">IF(F632=0,"",N632*L632)</f>
        <v>297.60322592000006</v>
      </c>
      <c r="P632" s="23">
        <f t="shared" ref="P632" si="1147">IF(F632=0,"",(K632+O632)/I632)</f>
        <v>1.1479999999999999</v>
      </c>
      <c r="Q632" s="268">
        <f t="shared" ref="Q632" si="1148">IF(F632=0,"",(P632*I632))</f>
        <v>469.29739472</v>
      </c>
      <c r="R632" s="118"/>
    </row>
    <row r="633" spans="1:18" x14ac:dyDescent="0.35">
      <c r="A633" s="67" t="str">
        <f>IF(TRIM(G633)&lt;&gt;"",COUNTA(G$11:$G633)&amp;"","")</f>
        <v>420</v>
      </c>
      <c r="B633" s="311"/>
      <c r="C633" s="311"/>
      <c r="D633" s="30"/>
      <c r="E633" s="65" t="s">
        <v>589</v>
      </c>
      <c r="F633" s="69">
        <f>F628*20.33</f>
        <v>371.63240000000002</v>
      </c>
      <c r="G633" s="70" t="s">
        <v>163</v>
      </c>
      <c r="H633" s="21">
        <v>0.1</v>
      </c>
      <c r="I633" s="47">
        <f t="shared" ref="I633" si="1149">IF(F633=0,"",F633+(F633*H633))</f>
        <v>408.79564000000005</v>
      </c>
      <c r="J633" s="265">
        <v>0.69</v>
      </c>
      <c r="K633" s="268">
        <f t="shared" ref="K633" si="1150">IF(F633=0,"",J633*I633)</f>
        <v>282.0689916</v>
      </c>
      <c r="L633" s="258">
        <f t="shared" ref="L633" si="1151">IF(F633=0,"",L$491)</f>
        <v>52</v>
      </c>
      <c r="M633" s="282">
        <v>1.2E-2</v>
      </c>
      <c r="N633" s="22">
        <f t="shared" ref="N633" si="1152">IF(F633=0,"",M633*I633)</f>
        <v>4.9055476800000006</v>
      </c>
      <c r="O633" s="268">
        <f t="shared" ref="O633" si="1153">IF(F633=0,"",N633*L633)</f>
        <v>255.08847936000004</v>
      </c>
      <c r="P633" s="23">
        <f t="shared" ref="P633" si="1154">IF(F633=0,"",(K633+O633)/I633)</f>
        <v>1.3140000000000001</v>
      </c>
      <c r="Q633" s="268">
        <f t="shared" ref="Q633" si="1155">IF(F633=0,"",(P633*I633))</f>
        <v>537.15747096000007</v>
      </c>
      <c r="R633" s="118"/>
    </row>
    <row r="634" spans="1:18" x14ac:dyDescent="0.35">
      <c r="A634" s="67" t="str">
        <f>IF(TRIM(G634)&lt;&gt;"",COUNTA(G$11:$G634)&amp;"","")</f>
        <v/>
      </c>
      <c r="B634" s="311"/>
      <c r="C634" s="311"/>
      <c r="D634" s="30"/>
      <c r="E634" s="65"/>
      <c r="F634" s="69"/>
      <c r="G634" s="70"/>
      <c r="H634" s="21"/>
      <c r="I634" s="47"/>
      <c r="J634" s="265"/>
      <c r="K634" s="268"/>
      <c r="L634" s="258"/>
      <c r="M634" s="282"/>
      <c r="N634" s="22"/>
      <c r="O634" s="268"/>
      <c r="P634" s="23"/>
      <c r="Q634" s="268"/>
      <c r="R634" s="118"/>
    </row>
    <row r="635" spans="1:18" x14ac:dyDescent="0.35">
      <c r="A635" s="67" t="str">
        <f>IF(TRIM(G635)&lt;&gt;"",COUNTA(G$11:$G635)&amp;"","")</f>
        <v>421</v>
      </c>
      <c r="B635" s="311"/>
      <c r="C635" s="311"/>
      <c r="D635" s="30"/>
      <c r="E635" s="238" t="s">
        <v>324</v>
      </c>
      <c r="F635" s="239">
        <v>18.54</v>
      </c>
      <c r="G635" s="245" t="s">
        <v>177</v>
      </c>
      <c r="H635" s="21"/>
      <c r="I635" s="47"/>
      <c r="J635" s="265"/>
      <c r="K635" s="268"/>
      <c r="L635" s="258"/>
      <c r="M635" s="282"/>
      <c r="N635" s="22"/>
      <c r="O635" s="268"/>
      <c r="P635" s="23"/>
      <c r="Q635" s="268"/>
      <c r="R635" s="118"/>
    </row>
    <row r="636" spans="1:18" x14ac:dyDescent="0.35">
      <c r="A636" s="67" t="str">
        <f>IF(TRIM(G636)&lt;&gt;"",COUNTA(G$11:$G636)&amp;"","")</f>
        <v>422</v>
      </c>
      <c r="B636" s="311"/>
      <c r="C636" s="311"/>
      <c r="D636" s="30"/>
      <c r="E636" s="65" t="s">
        <v>625</v>
      </c>
      <c r="F636" s="69">
        <v>15</v>
      </c>
      <c r="G636" s="70" t="s">
        <v>211</v>
      </c>
      <c r="H636" s="21">
        <v>0</v>
      </c>
      <c r="I636" s="47">
        <f t="shared" ref="I636:I638" si="1156">IF(F636=0,"",F636+(F636*H636))</f>
        <v>15</v>
      </c>
      <c r="J636" s="265">
        <f>0.78*10</f>
        <v>7.8000000000000007</v>
      </c>
      <c r="K636" s="268">
        <f t="shared" ref="K636:K638" si="1157">IF(F636=0,"",J636*I636)</f>
        <v>117.00000000000001</v>
      </c>
      <c r="L636" s="258">
        <f t="shared" ref="L636:L638" si="1158">IF(F636=0,"",L$491)</f>
        <v>52</v>
      </c>
      <c r="M636" s="282">
        <f>0.0543*10</f>
        <v>0.54300000000000004</v>
      </c>
      <c r="N636" s="22">
        <f t="shared" ref="N636:N638" si="1159">IF(F636=0,"",M636*I636)</f>
        <v>8.1450000000000014</v>
      </c>
      <c r="O636" s="268">
        <f t="shared" ref="O636:O638" si="1160">IF(F636=0,"",N636*L636)</f>
        <v>423.54000000000008</v>
      </c>
      <c r="P636" s="23">
        <f t="shared" ref="P636:P638" si="1161">IF(F636=0,"",(K636+O636)/I636)</f>
        <v>36.036000000000008</v>
      </c>
      <c r="Q636" s="268">
        <f t="shared" ref="Q636:Q638" si="1162">IF(F636=0,"",(P636*I636))</f>
        <v>540.54000000000008</v>
      </c>
      <c r="R636" s="118"/>
    </row>
    <row r="637" spans="1:18" x14ac:dyDescent="0.35">
      <c r="A637" s="67" t="str">
        <f>IF(TRIM(G637)&lt;&gt;"",COUNTA(G$11:$G637)&amp;"","")</f>
        <v>423</v>
      </c>
      <c r="B637" s="311"/>
      <c r="C637" s="311"/>
      <c r="D637" s="30"/>
      <c r="E637" s="65" t="s">
        <v>620</v>
      </c>
      <c r="F637" s="69">
        <f>F635*2</f>
        <v>37.08</v>
      </c>
      <c r="G637" s="70" t="s">
        <v>177</v>
      </c>
      <c r="H637" s="21">
        <v>0.1</v>
      </c>
      <c r="I637" s="47">
        <f t="shared" si="1156"/>
        <v>40.787999999999997</v>
      </c>
      <c r="J637" s="265">
        <v>0.78</v>
      </c>
      <c r="K637" s="268">
        <f t="shared" si="1157"/>
        <v>31.814639999999997</v>
      </c>
      <c r="L637" s="258">
        <f t="shared" si="1158"/>
        <v>52</v>
      </c>
      <c r="M637" s="282">
        <v>5.4300000000000001E-2</v>
      </c>
      <c r="N637" s="22">
        <f t="shared" si="1159"/>
        <v>2.2147883999999998</v>
      </c>
      <c r="O637" s="268">
        <f t="shared" si="1160"/>
        <v>115.16899679999999</v>
      </c>
      <c r="P637" s="23">
        <f t="shared" si="1161"/>
        <v>3.6036000000000001</v>
      </c>
      <c r="Q637" s="268">
        <f t="shared" si="1162"/>
        <v>146.9836368</v>
      </c>
      <c r="R637" s="118"/>
    </row>
    <row r="638" spans="1:18" x14ac:dyDescent="0.35">
      <c r="A638" s="67" t="str">
        <f>IF(TRIM(G638)&lt;&gt;"",COUNTA(G$11:$G638)&amp;"","")</f>
        <v>424</v>
      </c>
      <c r="B638" s="311"/>
      <c r="C638" s="311"/>
      <c r="D638" s="30"/>
      <c r="E638" s="65" t="s">
        <v>621</v>
      </c>
      <c r="F638" s="69">
        <f>F635</f>
        <v>18.54</v>
      </c>
      <c r="G638" s="70" t="s">
        <v>177</v>
      </c>
      <c r="H638" s="21">
        <v>0.1</v>
      </c>
      <c r="I638" s="47">
        <f t="shared" si="1156"/>
        <v>20.393999999999998</v>
      </c>
      <c r="J638" s="265">
        <f>10.58/8</f>
        <v>1.3225</v>
      </c>
      <c r="K638" s="268">
        <f t="shared" si="1157"/>
        <v>26.971064999999999</v>
      </c>
      <c r="L638" s="258">
        <f t="shared" si="1158"/>
        <v>52</v>
      </c>
      <c r="M638" s="282">
        <v>5.4300000000000001E-2</v>
      </c>
      <c r="N638" s="22">
        <f t="shared" si="1159"/>
        <v>1.1073941999999999</v>
      </c>
      <c r="O638" s="268">
        <f t="shared" si="1160"/>
        <v>57.584498399999994</v>
      </c>
      <c r="P638" s="23">
        <f t="shared" si="1161"/>
        <v>4.1461000000000006</v>
      </c>
      <c r="Q638" s="268">
        <f t="shared" si="1162"/>
        <v>84.555563400000011</v>
      </c>
      <c r="R638" s="118"/>
    </row>
    <row r="639" spans="1:18" x14ac:dyDescent="0.35">
      <c r="A639" s="67" t="str">
        <f>IF(TRIM(G639)&lt;&gt;"",COUNTA(G$11:$G639)&amp;"","")</f>
        <v>425</v>
      </c>
      <c r="B639" s="311"/>
      <c r="C639" s="311"/>
      <c r="D639" s="30"/>
      <c r="E639" s="65" t="s">
        <v>320</v>
      </c>
      <c r="F639" s="69">
        <f>F635*10*2</f>
        <v>370.79999999999995</v>
      </c>
      <c r="G639" s="70" t="s">
        <v>163</v>
      </c>
      <c r="H639" s="21">
        <v>0.1</v>
      </c>
      <c r="I639" s="47">
        <f t="shared" ref="I639:I640" si="1163">IF(F639=0,"",F639+(F639*H639))</f>
        <v>407.87999999999994</v>
      </c>
      <c r="J639" s="265">
        <v>0.42</v>
      </c>
      <c r="K639" s="268">
        <f t="shared" ref="K639:K640" si="1164">IF(F639=0,"",J639*I639)</f>
        <v>171.30959999999996</v>
      </c>
      <c r="L639" s="258">
        <f t="shared" ref="L639:L640" si="1165">IF(F639=0,"",L$491)</f>
        <v>52</v>
      </c>
      <c r="M639" s="282">
        <v>1.4E-2</v>
      </c>
      <c r="N639" s="22">
        <f t="shared" ref="N639:N640" si="1166">IF(F639=0,"",M639*I639)</f>
        <v>5.7103199999999994</v>
      </c>
      <c r="O639" s="268">
        <f t="shared" ref="O639:O640" si="1167">IF(F639=0,"",N639*L639)</f>
        <v>296.93663999999995</v>
      </c>
      <c r="P639" s="23">
        <f t="shared" ref="P639:P640" si="1168">IF(F639=0,"",(K639+O639)/I639)</f>
        <v>1.1480000000000001</v>
      </c>
      <c r="Q639" s="268">
        <f t="shared" ref="Q639:Q640" si="1169">IF(F639=0,"",(P639*I639))</f>
        <v>468.24624</v>
      </c>
      <c r="R639" s="118"/>
    </row>
    <row r="640" spans="1:18" x14ac:dyDescent="0.35">
      <c r="A640" s="67" t="str">
        <f>IF(TRIM(G640)&lt;&gt;"",COUNTA(G$11:$G640)&amp;"","")</f>
        <v>426</v>
      </c>
      <c r="B640" s="311"/>
      <c r="C640" s="311"/>
      <c r="D640" s="30"/>
      <c r="E640" s="65" t="s">
        <v>589</v>
      </c>
      <c r="F640" s="69">
        <f>F635*10</f>
        <v>185.39999999999998</v>
      </c>
      <c r="G640" s="70" t="s">
        <v>163</v>
      </c>
      <c r="H640" s="21">
        <v>0.1</v>
      </c>
      <c r="I640" s="47">
        <f t="shared" si="1163"/>
        <v>203.93999999999997</v>
      </c>
      <c r="J640" s="265">
        <v>0.69</v>
      </c>
      <c r="K640" s="268">
        <f t="shared" si="1164"/>
        <v>140.71859999999998</v>
      </c>
      <c r="L640" s="258">
        <f t="shared" si="1165"/>
        <v>52</v>
      </c>
      <c r="M640" s="282">
        <v>1.2E-2</v>
      </c>
      <c r="N640" s="22">
        <f t="shared" si="1166"/>
        <v>2.4472799999999997</v>
      </c>
      <c r="O640" s="268">
        <f t="shared" si="1167"/>
        <v>127.25855999999999</v>
      </c>
      <c r="P640" s="23">
        <f t="shared" si="1168"/>
        <v>1.3140000000000001</v>
      </c>
      <c r="Q640" s="268">
        <f t="shared" si="1169"/>
        <v>267.97715999999997</v>
      </c>
      <c r="R640" s="118"/>
    </row>
    <row r="641" spans="1:18" x14ac:dyDescent="0.35">
      <c r="A641" s="67" t="str">
        <f>IF(TRIM(G641)&lt;&gt;"",COUNTA(G$11:$G641)&amp;"","")</f>
        <v/>
      </c>
      <c r="B641" s="311"/>
      <c r="C641" s="311"/>
      <c r="D641" s="30"/>
      <c r="E641" s="65"/>
      <c r="F641" s="69"/>
      <c r="G641" s="70"/>
      <c r="H641" s="21"/>
      <c r="I641" s="47"/>
      <c r="J641" s="265"/>
      <c r="K641" s="268"/>
      <c r="L641" s="258"/>
      <c r="M641" s="282"/>
      <c r="N641" s="22"/>
      <c r="O641" s="268"/>
      <c r="P641" s="23"/>
      <c r="Q641" s="268"/>
      <c r="R641" s="118"/>
    </row>
    <row r="642" spans="1:18" x14ac:dyDescent="0.35">
      <c r="A642" s="67" t="str">
        <f>IF(TRIM(G642)&lt;&gt;"",COUNTA(G$11:$G642)&amp;"","")</f>
        <v>427</v>
      </c>
      <c r="B642" s="311"/>
      <c r="C642" s="311"/>
      <c r="D642" s="30"/>
      <c r="E642" s="238" t="s">
        <v>331</v>
      </c>
      <c r="F642" s="239">
        <v>23.17</v>
      </c>
      <c r="G642" s="245" t="s">
        <v>177</v>
      </c>
      <c r="H642" s="21"/>
      <c r="I642" s="47"/>
      <c r="J642" s="265"/>
      <c r="K642" s="268"/>
      <c r="L642" s="258"/>
      <c r="M642" s="282"/>
      <c r="N642" s="22"/>
      <c r="O642" s="268"/>
      <c r="P642" s="23"/>
      <c r="Q642" s="268"/>
      <c r="R642" s="118"/>
    </row>
    <row r="643" spans="1:18" x14ac:dyDescent="0.35">
      <c r="A643" s="67" t="str">
        <f>IF(TRIM(G643)&lt;&gt;"",COUNTA(G$11:$G643)&amp;"","")</f>
        <v>428</v>
      </c>
      <c r="B643" s="311"/>
      <c r="C643" s="311"/>
      <c r="D643" s="30"/>
      <c r="E643" s="65" t="s">
        <v>626</v>
      </c>
      <c r="F643" s="69">
        <v>16</v>
      </c>
      <c r="G643" s="70" t="s">
        <v>211</v>
      </c>
      <c r="H643" s="21">
        <v>0</v>
      </c>
      <c r="I643" s="47">
        <f t="shared" ref="I643:I645" si="1170">IF(F643=0,"",F643+(F643*H643))</f>
        <v>16</v>
      </c>
      <c r="J643" s="265">
        <f>0.78*16</f>
        <v>12.48</v>
      </c>
      <c r="K643" s="268">
        <f t="shared" ref="K643:K645" si="1171">IF(F643=0,"",J643*I643)</f>
        <v>199.68</v>
      </c>
      <c r="L643" s="258">
        <f t="shared" ref="L643:L645" si="1172">IF(F643=0,"",L$491)</f>
        <v>52</v>
      </c>
      <c r="M643" s="282">
        <f>0.0543*16</f>
        <v>0.86880000000000002</v>
      </c>
      <c r="N643" s="22">
        <f t="shared" ref="N643:N645" si="1173">IF(F643=0,"",M643*I643)</f>
        <v>13.9008</v>
      </c>
      <c r="O643" s="268">
        <f t="shared" ref="O643:O645" si="1174">IF(F643=0,"",N643*L643)</f>
        <v>722.84159999999997</v>
      </c>
      <c r="P643" s="23">
        <f t="shared" ref="P643:P645" si="1175">IF(F643=0,"",(K643+O643)/I643)</f>
        <v>57.657600000000002</v>
      </c>
      <c r="Q643" s="268">
        <f t="shared" ref="Q643:Q645" si="1176">IF(F643=0,"",(P643*I643))</f>
        <v>922.52160000000003</v>
      </c>
      <c r="R643" s="118"/>
    </row>
    <row r="644" spans="1:18" x14ac:dyDescent="0.35">
      <c r="A644" s="67" t="str">
        <f>IF(TRIM(G644)&lt;&gt;"",COUNTA(G$11:$G644)&amp;"","")</f>
        <v>429</v>
      </c>
      <c r="B644" s="311"/>
      <c r="C644" s="311"/>
      <c r="D644" s="30"/>
      <c r="E644" s="65" t="s">
        <v>620</v>
      </c>
      <c r="F644" s="69">
        <f>F642*2</f>
        <v>46.34</v>
      </c>
      <c r="G644" s="70" t="s">
        <v>177</v>
      </c>
      <c r="H644" s="21">
        <v>0.1</v>
      </c>
      <c r="I644" s="47">
        <f t="shared" si="1170"/>
        <v>50.974000000000004</v>
      </c>
      <c r="J644" s="265">
        <v>0.78</v>
      </c>
      <c r="K644" s="268">
        <f t="shared" si="1171"/>
        <v>39.759720000000002</v>
      </c>
      <c r="L644" s="258">
        <f t="shared" si="1172"/>
        <v>52</v>
      </c>
      <c r="M644" s="282">
        <v>5.4300000000000001E-2</v>
      </c>
      <c r="N644" s="22">
        <f t="shared" si="1173"/>
        <v>2.7678882000000002</v>
      </c>
      <c r="O644" s="268">
        <f t="shared" si="1174"/>
        <v>143.93018640000003</v>
      </c>
      <c r="P644" s="23">
        <f t="shared" si="1175"/>
        <v>3.6036000000000006</v>
      </c>
      <c r="Q644" s="268">
        <f t="shared" si="1176"/>
        <v>183.68990640000004</v>
      </c>
      <c r="R644" s="118"/>
    </row>
    <row r="645" spans="1:18" x14ac:dyDescent="0.35">
      <c r="A645" s="67" t="str">
        <f>IF(TRIM(G645)&lt;&gt;"",COUNTA(G$11:$G645)&amp;"","")</f>
        <v>430</v>
      </c>
      <c r="B645" s="311"/>
      <c r="C645" s="311"/>
      <c r="D645" s="30"/>
      <c r="E645" s="65" t="s">
        <v>621</v>
      </c>
      <c r="F645" s="69">
        <f>F642</f>
        <v>23.17</v>
      </c>
      <c r="G645" s="70" t="s">
        <v>177</v>
      </c>
      <c r="H645" s="21">
        <v>0.1</v>
      </c>
      <c r="I645" s="47">
        <f t="shared" si="1170"/>
        <v>25.487000000000002</v>
      </c>
      <c r="J645" s="265">
        <f>10.58/8</f>
        <v>1.3225</v>
      </c>
      <c r="K645" s="268">
        <f t="shared" si="1171"/>
        <v>33.706557500000002</v>
      </c>
      <c r="L645" s="258">
        <f t="shared" si="1172"/>
        <v>52</v>
      </c>
      <c r="M645" s="282">
        <v>5.4300000000000001E-2</v>
      </c>
      <c r="N645" s="22">
        <f t="shared" si="1173"/>
        <v>1.3839441000000001</v>
      </c>
      <c r="O645" s="268">
        <f t="shared" si="1174"/>
        <v>71.965093200000013</v>
      </c>
      <c r="P645" s="23">
        <f t="shared" si="1175"/>
        <v>4.1461000000000006</v>
      </c>
      <c r="Q645" s="268">
        <f t="shared" si="1176"/>
        <v>105.67165070000003</v>
      </c>
      <c r="R645" s="118"/>
    </row>
    <row r="646" spans="1:18" x14ac:dyDescent="0.35">
      <c r="A646" s="67" t="str">
        <f>IF(TRIM(G646)&lt;&gt;"",COUNTA(G$11:$G646)&amp;"","")</f>
        <v>431</v>
      </c>
      <c r="B646" s="311"/>
      <c r="C646" s="311"/>
      <c r="D646" s="30"/>
      <c r="E646" s="65" t="s">
        <v>320</v>
      </c>
      <c r="F646" s="69">
        <f>F642*16</f>
        <v>370.72</v>
      </c>
      <c r="G646" s="70" t="s">
        <v>163</v>
      </c>
      <c r="H646" s="21">
        <v>0.1</v>
      </c>
      <c r="I646" s="47">
        <f t="shared" ref="I646:I647" si="1177">IF(F646=0,"",F646+(F646*H646))</f>
        <v>407.79200000000003</v>
      </c>
      <c r="J646" s="265">
        <v>0.42</v>
      </c>
      <c r="K646" s="268">
        <f t="shared" ref="K646:K647" si="1178">IF(F646=0,"",J646*I646)</f>
        <v>171.27264</v>
      </c>
      <c r="L646" s="258">
        <f t="shared" ref="L646:L647" si="1179">IF(F646=0,"",L$491)</f>
        <v>52</v>
      </c>
      <c r="M646" s="282">
        <v>1.4E-2</v>
      </c>
      <c r="N646" s="22">
        <f t="shared" ref="N646:N647" si="1180">IF(F646=0,"",M646*I646)</f>
        <v>5.7090880000000004</v>
      </c>
      <c r="O646" s="268">
        <f t="shared" ref="O646:O647" si="1181">IF(F646=0,"",N646*L646)</f>
        <v>296.87257600000004</v>
      </c>
      <c r="P646" s="23">
        <f t="shared" ref="P646:P647" si="1182">IF(F646=0,"",(K646+O646)/I646)</f>
        <v>1.1479999999999999</v>
      </c>
      <c r="Q646" s="268">
        <f t="shared" ref="Q646:Q647" si="1183">IF(F646=0,"",(P646*I646))</f>
        <v>468.145216</v>
      </c>
      <c r="R646" s="118"/>
    </row>
    <row r="647" spans="1:18" x14ac:dyDescent="0.35">
      <c r="A647" s="67" t="str">
        <f>IF(TRIM(G647)&lt;&gt;"",COUNTA(G$11:$G647)&amp;"","")</f>
        <v>432</v>
      </c>
      <c r="B647" s="311"/>
      <c r="C647" s="311"/>
      <c r="D647" s="30"/>
      <c r="E647" s="65" t="s">
        <v>589</v>
      </c>
      <c r="F647" s="69">
        <f>F642*16</f>
        <v>370.72</v>
      </c>
      <c r="G647" s="70" t="s">
        <v>163</v>
      </c>
      <c r="H647" s="21">
        <v>0.1</v>
      </c>
      <c r="I647" s="47">
        <f t="shared" si="1177"/>
        <v>407.79200000000003</v>
      </c>
      <c r="J647" s="265">
        <v>0.69</v>
      </c>
      <c r="K647" s="268">
        <f t="shared" si="1178"/>
        <v>281.37648000000002</v>
      </c>
      <c r="L647" s="258">
        <f t="shared" si="1179"/>
        <v>52</v>
      </c>
      <c r="M647" s="282">
        <v>1.2E-2</v>
      </c>
      <c r="N647" s="22">
        <f t="shared" si="1180"/>
        <v>4.8935040000000001</v>
      </c>
      <c r="O647" s="268">
        <f t="shared" si="1181"/>
        <v>254.462208</v>
      </c>
      <c r="P647" s="23">
        <f t="shared" si="1182"/>
        <v>1.3140000000000001</v>
      </c>
      <c r="Q647" s="268">
        <f t="shared" si="1183"/>
        <v>535.83868800000005</v>
      </c>
      <c r="R647" s="118"/>
    </row>
    <row r="648" spans="1:18" x14ac:dyDescent="0.35">
      <c r="A648" s="67" t="str">
        <f>IF(TRIM(G648)&lt;&gt;"",COUNTA(G$11:$G648)&amp;"","")</f>
        <v/>
      </c>
      <c r="B648" s="311"/>
      <c r="C648" s="311"/>
      <c r="D648" s="30"/>
      <c r="E648" s="65"/>
      <c r="F648" s="69"/>
      <c r="G648" s="70"/>
      <c r="H648" s="21"/>
      <c r="I648" s="47"/>
      <c r="J648" s="265"/>
      <c r="K648" s="268"/>
      <c r="L648" s="258"/>
      <c r="M648" s="282"/>
      <c r="N648" s="22"/>
      <c r="O648" s="268"/>
      <c r="P648" s="23"/>
      <c r="Q648" s="268"/>
      <c r="R648" s="118"/>
    </row>
    <row r="649" spans="1:18" x14ac:dyDescent="0.35">
      <c r="A649" s="67" t="str">
        <f>IF(TRIM(G649)&lt;&gt;"",COUNTA(G$11:$G649)&amp;"","")</f>
        <v>433</v>
      </c>
      <c r="B649" s="311"/>
      <c r="C649" s="311"/>
      <c r="D649" s="30"/>
      <c r="E649" s="238" t="s">
        <v>329</v>
      </c>
      <c r="F649" s="239">
        <v>13.6</v>
      </c>
      <c r="G649" s="245" t="s">
        <v>177</v>
      </c>
      <c r="H649" s="21"/>
      <c r="I649" s="47"/>
      <c r="J649" s="265"/>
      <c r="K649" s="268"/>
      <c r="L649" s="258"/>
      <c r="M649" s="282"/>
      <c r="N649" s="22"/>
      <c r="O649" s="268"/>
      <c r="P649" s="23"/>
      <c r="Q649" s="268"/>
      <c r="R649" s="118"/>
    </row>
    <row r="650" spans="1:18" x14ac:dyDescent="0.35">
      <c r="A650" s="67" t="str">
        <f>IF(TRIM(G650)&lt;&gt;"",COUNTA(G$11:$G650)&amp;"","")</f>
        <v>434</v>
      </c>
      <c r="B650" s="311"/>
      <c r="C650" s="311"/>
      <c r="D650" s="30"/>
      <c r="E650" s="65" t="s">
        <v>627</v>
      </c>
      <c r="F650" s="69">
        <v>15</v>
      </c>
      <c r="G650" s="70" t="s">
        <v>211</v>
      </c>
      <c r="H650" s="21">
        <v>0</v>
      </c>
      <c r="I650" s="47">
        <f t="shared" ref="I650:I652" si="1184">IF(F650=0,"",F650+(F650*H650))</f>
        <v>15</v>
      </c>
      <c r="J650" s="265">
        <f>8*1.25</f>
        <v>10</v>
      </c>
      <c r="K650" s="268">
        <f t="shared" ref="K650" si="1185">IF(F650=0,"",J650*I650)</f>
        <v>150</v>
      </c>
      <c r="L650" s="258">
        <f t="shared" ref="L650:L652" si="1186">IF(F650=0,"",L$491)</f>
        <v>52</v>
      </c>
      <c r="M650" s="282">
        <f>0.0575*8</f>
        <v>0.46</v>
      </c>
      <c r="N650" s="22">
        <f t="shared" ref="N650" si="1187">IF(F650=0,"",M650*I650)</f>
        <v>6.9</v>
      </c>
      <c r="O650" s="268">
        <f t="shared" ref="O650" si="1188">IF(F650=0,"",N650*L650)</f>
        <v>358.8</v>
      </c>
      <c r="P650" s="23">
        <f t="shared" ref="P650" si="1189">IF(F650=0,"",(K650+O650)/I650)</f>
        <v>33.92</v>
      </c>
      <c r="Q650" s="268">
        <f t="shared" ref="Q650" si="1190">IF(F650=0,"",(P650*I650))</f>
        <v>508.8</v>
      </c>
      <c r="R650" s="118"/>
    </row>
    <row r="651" spans="1:18" x14ac:dyDescent="0.35">
      <c r="A651" s="67" t="str">
        <f>IF(TRIM(G651)&lt;&gt;"",COUNTA(G$11:$G651)&amp;"","")</f>
        <v>435</v>
      </c>
      <c r="B651" s="311"/>
      <c r="C651" s="311"/>
      <c r="D651" s="30"/>
      <c r="E651" s="65" t="s">
        <v>628</v>
      </c>
      <c r="F651" s="69">
        <f>F649*2</f>
        <v>27.2</v>
      </c>
      <c r="G651" s="70" t="s">
        <v>177</v>
      </c>
      <c r="H651" s="21">
        <v>0.1</v>
      </c>
      <c r="I651" s="47">
        <f t="shared" si="1184"/>
        <v>29.919999999999998</v>
      </c>
      <c r="J651" s="265">
        <v>1.25</v>
      </c>
      <c r="K651" s="268">
        <f t="shared" ref="K651:K652" si="1191">IF(F651=0,"",J651*I651)</f>
        <v>37.4</v>
      </c>
      <c r="L651" s="258">
        <f t="shared" si="1186"/>
        <v>52</v>
      </c>
      <c r="M651" s="282">
        <v>5.7500000000000002E-2</v>
      </c>
      <c r="N651" s="22">
        <f t="shared" ref="N651:N652" si="1192">IF(F651=0,"",M651*I651)</f>
        <v>1.7203999999999999</v>
      </c>
      <c r="O651" s="268">
        <f t="shared" ref="O651:O652" si="1193">IF(F651=0,"",N651*L651)</f>
        <v>89.460799999999992</v>
      </c>
      <c r="P651" s="23">
        <f t="shared" ref="P651:P652" si="1194">IF(F651=0,"",(K651+O651)/I651)</f>
        <v>4.2399999999999993</v>
      </c>
      <c r="Q651" s="268">
        <f t="shared" ref="Q651:Q652" si="1195">IF(F651=0,"",(P651*I651))</f>
        <v>126.86079999999997</v>
      </c>
      <c r="R651" s="118"/>
    </row>
    <row r="652" spans="1:18" x14ac:dyDescent="0.35">
      <c r="A652" s="67" t="str">
        <f>IF(TRIM(G652)&lt;&gt;"",COUNTA(G$11:$G652)&amp;"","")</f>
        <v>436</v>
      </c>
      <c r="B652" s="311"/>
      <c r="C652" s="311"/>
      <c r="D652" s="30"/>
      <c r="E652" s="65" t="s">
        <v>618</v>
      </c>
      <c r="F652" s="69">
        <f>F649</f>
        <v>13.6</v>
      </c>
      <c r="G652" s="70" t="s">
        <v>177</v>
      </c>
      <c r="H652" s="21">
        <v>0.1</v>
      </c>
      <c r="I652" s="47">
        <f t="shared" si="1184"/>
        <v>14.959999999999999</v>
      </c>
      <c r="J652" s="265">
        <v>1.56</v>
      </c>
      <c r="K652" s="268">
        <f t="shared" si="1191"/>
        <v>23.337599999999998</v>
      </c>
      <c r="L652" s="258">
        <f t="shared" si="1186"/>
        <v>52</v>
      </c>
      <c r="M652" s="282">
        <v>5.7500000000000002E-2</v>
      </c>
      <c r="N652" s="22">
        <f t="shared" si="1192"/>
        <v>0.86019999999999996</v>
      </c>
      <c r="O652" s="268">
        <f t="shared" si="1193"/>
        <v>44.730399999999996</v>
      </c>
      <c r="P652" s="23">
        <f t="shared" si="1194"/>
        <v>4.55</v>
      </c>
      <c r="Q652" s="268">
        <f t="shared" si="1195"/>
        <v>68.067999999999998</v>
      </c>
      <c r="R652" s="118"/>
    </row>
    <row r="653" spans="1:18" x14ac:dyDescent="0.35">
      <c r="A653" s="67" t="str">
        <f>IF(TRIM(G653)&lt;&gt;"",COUNTA(G$11:$G653)&amp;"","")</f>
        <v>437</v>
      </c>
      <c r="B653" s="311"/>
      <c r="C653" s="311"/>
      <c r="D653" s="30"/>
      <c r="E653" s="65" t="s">
        <v>320</v>
      </c>
      <c r="F653" s="69">
        <f>F649*10.83</f>
        <v>147.28800000000001</v>
      </c>
      <c r="G653" s="70" t="s">
        <v>163</v>
      </c>
      <c r="H653" s="21">
        <v>0.1</v>
      </c>
      <c r="I653" s="47">
        <f t="shared" ref="I653:I654" si="1196">IF(F653=0,"",F653+(F653*H653))</f>
        <v>162.01680000000002</v>
      </c>
      <c r="J653" s="265">
        <v>0.42</v>
      </c>
      <c r="K653" s="268">
        <f t="shared" ref="K653" si="1197">IF(F653=0,"",J653*I653)</f>
        <v>68.047056000000012</v>
      </c>
      <c r="L653" s="258">
        <f t="shared" ref="L653" si="1198">IF(F653=0,"",L$491)</f>
        <v>52</v>
      </c>
      <c r="M653" s="282">
        <v>1.4E-2</v>
      </c>
      <c r="N653" s="22">
        <f t="shared" ref="N653:N654" si="1199">IF(F653=0,"",M653*I653)</f>
        <v>2.2682352000000003</v>
      </c>
      <c r="O653" s="268">
        <f t="shared" ref="O653:O654" si="1200">IF(F653=0,"",N653*L653)</f>
        <v>117.94823040000001</v>
      </c>
      <c r="P653" s="23">
        <f t="shared" ref="P653:P654" si="1201">IF(F653=0,"",(K653+O653)/I653)</f>
        <v>1.1480000000000001</v>
      </c>
      <c r="Q653" s="268">
        <f t="shared" ref="Q653:Q654" si="1202">IF(F653=0,"",(P653*I653))</f>
        <v>185.99528640000005</v>
      </c>
      <c r="R653" s="118"/>
    </row>
    <row r="654" spans="1:18" x14ac:dyDescent="0.35">
      <c r="A654" s="67" t="str">
        <f>IF(TRIM(G654)&lt;&gt;"",COUNTA(G$11:$G654)&amp;"","")</f>
        <v>438</v>
      </c>
      <c r="B654" s="311"/>
      <c r="C654" s="311"/>
      <c r="D654" s="30"/>
      <c r="E654" s="65" t="s">
        <v>590</v>
      </c>
      <c r="F654" s="69">
        <f>F649*10.83</f>
        <v>147.28800000000001</v>
      </c>
      <c r="G654" s="70" t="s">
        <v>163</v>
      </c>
      <c r="H654" s="21">
        <v>0.1</v>
      </c>
      <c r="I654" s="47">
        <f t="shared" si="1196"/>
        <v>162.01680000000002</v>
      </c>
      <c r="J654" s="265">
        <v>0.89</v>
      </c>
      <c r="K654" s="268">
        <f t="shared" ref="K654" si="1203">IF(F654=0,"",J654*I654)</f>
        <v>144.19495200000003</v>
      </c>
      <c r="L654" s="258">
        <f t="shared" ref="L654" si="1204">IF(F654=0,"",L$491)</f>
        <v>52</v>
      </c>
      <c r="M654" s="282">
        <v>1.4999999999999999E-2</v>
      </c>
      <c r="N654" s="22">
        <f t="shared" si="1199"/>
        <v>2.4302520000000003</v>
      </c>
      <c r="O654" s="268">
        <f t="shared" si="1200"/>
        <v>126.37310400000001</v>
      </c>
      <c r="P654" s="23">
        <f t="shared" si="1201"/>
        <v>1.6700000000000002</v>
      </c>
      <c r="Q654" s="268">
        <f t="shared" si="1202"/>
        <v>270.56805600000007</v>
      </c>
      <c r="R654" s="118"/>
    </row>
    <row r="655" spans="1:18" x14ac:dyDescent="0.35">
      <c r="A655" s="67" t="str">
        <f>IF(TRIM(G655)&lt;&gt;"",COUNTA(G$11:$G655)&amp;"","")</f>
        <v/>
      </c>
      <c r="B655" s="311"/>
      <c r="C655" s="311"/>
      <c r="D655" s="30"/>
      <c r="E655" s="65"/>
      <c r="F655" s="69"/>
      <c r="G655" s="70"/>
      <c r="H655" s="21"/>
      <c r="I655" s="47"/>
      <c r="J655" s="265"/>
      <c r="K655" s="268"/>
      <c r="L655" s="258"/>
      <c r="M655" s="282"/>
      <c r="N655" s="22"/>
      <c r="O655" s="268"/>
      <c r="P655" s="23"/>
      <c r="Q655" s="268"/>
      <c r="R655" s="118"/>
    </row>
    <row r="656" spans="1:18" x14ac:dyDescent="0.35">
      <c r="A656" s="67" t="str">
        <f>IF(TRIM(G656)&lt;&gt;"",COUNTA(G$11:$G656)&amp;"","")</f>
        <v/>
      </c>
      <c r="B656" s="311"/>
      <c r="C656" s="311"/>
      <c r="D656" s="30"/>
      <c r="E656" s="240" t="s">
        <v>220</v>
      </c>
      <c r="F656" s="69"/>
      <c r="G656" s="70"/>
      <c r="H656" s="21" t="str">
        <f t="shared" si="820"/>
        <v/>
      </c>
      <c r="I656" s="47" t="str">
        <f t="shared" si="821"/>
        <v/>
      </c>
      <c r="J656" s="265" t="str">
        <f t="shared" si="822"/>
        <v/>
      </c>
      <c r="K656" s="268" t="str">
        <f t="shared" si="823"/>
        <v/>
      </c>
      <c r="L656" s="258" t="str">
        <f t="shared" si="824"/>
        <v/>
      </c>
      <c r="M656" s="282" t="str">
        <f t="shared" si="825"/>
        <v/>
      </c>
      <c r="N656" s="22" t="str">
        <f t="shared" si="826"/>
        <v/>
      </c>
      <c r="O656" s="268" t="str">
        <f t="shared" si="827"/>
        <v/>
      </c>
      <c r="P656" s="23" t="str">
        <f t="shared" si="828"/>
        <v/>
      </c>
      <c r="Q656" s="268" t="str">
        <f t="shared" si="829"/>
        <v/>
      </c>
      <c r="R656" s="118"/>
    </row>
    <row r="657" spans="1:18" ht="29" x14ac:dyDescent="0.35">
      <c r="A657" s="67" t="str">
        <f>IF(TRIM(G657)&lt;&gt;"",COUNTA(G$11:$G657)&amp;"","")</f>
        <v>439</v>
      </c>
      <c r="B657" s="311"/>
      <c r="C657" s="311"/>
      <c r="D657" s="30"/>
      <c r="E657" s="65" t="s">
        <v>591</v>
      </c>
      <c r="F657" s="69">
        <f>77.36+70</f>
        <v>147.36000000000001</v>
      </c>
      <c r="G657" s="70" t="s">
        <v>163</v>
      </c>
      <c r="H657" s="21">
        <v>0.1</v>
      </c>
      <c r="I657" s="47">
        <f t="shared" si="821"/>
        <v>162.096</v>
      </c>
      <c r="J657" s="265">
        <v>0.52</v>
      </c>
      <c r="K657" s="268">
        <f t="shared" si="823"/>
        <v>84.289920000000009</v>
      </c>
      <c r="L657" s="258">
        <f t="shared" si="824"/>
        <v>52</v>
      </c>
      <c r="M657" s="282">
        <v>1.6E-2</v>
      </c>
      <c r="N657" s="22">
        <f t="shared" si="826"/>
        <v>2.5935360000000003</v>
      </c>
      <c r="O657" s="268">
        <f t="shared" si="827"/>
        <v>134.86387200000001</v>
      </c>
      <c r="P657" s="23">
        <f t="shared" si="828"/>
        <v>1.3520000000000001</v>
      </c>
      <c r="Q657" s="268">
        <f t="shared" si="829"/>
        <v>219.15379200000001</v>
      </c>
      <c r="R657" s="118"/>
    </row>
    <row r="658" spans="1:18" ht="29" x14ac:dyDescent="0.35">
      <c r="A658" s="67" t="str">
        <f>IF(TRIM(G658)&lt;&gt;"",COUNTA(G$11:$G658)&amp;"","")</f>
        <v>440</v>
      </c>
      <c r="B658" s="311"/>
      <c r="C658" s="311"/>
      <c r="D658" s="30"/>
      <c r="E658" s="65" t="s">
        <v>592</v>
      </c>
      <c r="F658" s="69">
        <v>112.09</v>
      </c>
      <c r="G658" s="70" t="s">
        <v>163</v>
      </c>
      <c r="H658" s="21">
        <v>0.1</v>
      </c>
      <c r="I658" s="47">
        <f t="shared" si="821"/>
        <v>123.29900000000001</v>
      </c>
      <c r="J658" s="265">
        <v>0.67</v>
      </c>
      <c r="K658" s="268">
        <f t="shared" si="823"/>
        <v>82.610330000000005</v>
      </c>
      <c r="L658" s="258">
        <f t="shared" si="824"/>
        <v>52</v>
      </c>
      <c r="M658" s="282">
        <v>1.6E-2</v>
      </c>
      <c r="N658" s="22">
        <f t="shared" si="826"/>
        <v>1.9727840000000001</v>
      </c>
      <c r="O658" s="268">
        <f t="shared" si="827"/>
        <v>102.58476800000001</v>
      </c>
      <c r="P658" s="23">
        <f t="shared" si="828"/>
        <v>1.5020000000000002</v>
      </c>
      <c r="Q658" s="268">
        <f t="shared" si="829"/>
        <v>185.19509800000003</v>
      </c>
      <c r="R658" s="118"/>
    </row>
    <row r="659" spans="1:18" ht="29" x14ac:dyDescent="0.35">
      <c r="A659" s="67" t="str">
        <f>IF(TRIM(G659)&lt;&gt;"",COUNTA(G$11:$G659)&amp;"","")</f>
        <v>441</v>
      </c>
      <c r="B659" s="311"/>
      <c r="C659" s="311"/>
      <c r="D659" s="30"/>
      <c r="E659" s="65" t="s">
        <v>593</v>
      </c>
      <c r="F659" s="69">
        <v>97.38</v>
      </c>
      <c r="G659" s="70" t="s">
        <v>163</v>
      </c>
      <c r="H659" s="21">
        <v>0.1</v>
      </c>
      <c r="I659" s="47">
        <f t="shared" ref="I659:I661" si="1205">IF(F659=0,"",F659+(F659*H659))</f>
        <v>107.11799999999999</v>
      </c>
      <c r="J659" s="265">
        <v>2.5</v>
      </c>
      <c r="K659" s="268">
        <f t="shared" ref="K659:K661" si="1206">IF(F659=0,"",J659*I659)</f>
        <v>267.79499999999996</v>
      </c>
      <c r="L659" s="258">
        <f t="shared" ref="L659:L661" si="1207">IF(F659=0,"",L$491)</f>
        <v>52</v>
      </c>
      <c r="M659" s="282">
        <v>3.5999999999999997E-2</v>
      </c>
      <c r="N659" s="22">
        <f t="shared" ref="N659:N661" si="1208">IF(F659=0,"",M659*I659)</f>
        <v>3.8562479999999995</v>
      </c>
      <c r="O659" s="268">
        <f t="shared" ref="O659:O661" si="1209">IF(F659=0,"",N659*L659)</f>
        <v>200.52489599999998</v>
      </c>
      <c r="P659" s="23">
        <f t="shared" ref="P659:P661" si="1210">IF(F659=0,"",(K659+O659)/I659)</f>
        <v>4.3719999999999999</v>
      </c>
      <c r="Q659" s="268">
        <f t="shared" ref="Q659:Q661" si="1211">IF(F659=0,"",(P659*I659))</f>
        <v>468.31989599999997</v>
      </c>
      <c r="R659" s="118"/>
    </row>
    <row r="660" spans="1:18" ht="29" x14ac:dyDescent="0.35">
      <c r="A660" s="67" t="str">
        <f>IF(TRIM(G660)&lt;&gt;"",COUNTA(G$11:$G660)&amp;"","")</f>
        <v>442</v>
      </c>
      <c r="B660" s="311"/>
      <c r="C660" s="311"/>
      <c r="D660" s="30"/>
      <c r="E660" s="65" t="s">
        <v>594</v>
      </c>
      <c r="F660" s="69">
        <v>110.65</v>
      </c>
      <c r="G660" s="70" t="s">
        <v>163</v>
      </c>
      <c r="H660" s="21">
        <v>0.1</v>
      </c>
      <c r="I660" s="47">
        <f t="shared" si="1205"/>
        <v>121.715</v>
      </c>
      <c r="J660" s="265">
        <v>4.2</v>
      </c>
      <c r="K660" s="268">
        <f t="shared" si="1206"/>
        <v>511.20300000000003</v>
      </c>
      <c r="L660" s="258">
        <f t="shared" si="1207"/>
        <v>52</v>
      </c>
      <c r="M660" s="282">
        <v>4.2000000000000003E-2</v>
      </c>
      <c r="N660" s="22">
        <f t="shared" si="1208"/>
        <v>5.1120300000000007</v>
      </c>
      <c r="O660" s="268">
        <f t="shared" si="1209"/>
        <v>265.82556000000005</v>
      </c>
      <c r="P660" s="23">
        <f t="shared" si="1210"/>
        <v>6.3840000000000003</v>
      </c>
      <c r="Q660" s="268">
        <f t="shared" si="1211"/>
        <v>777.02856000000008</v>
      </c>
      <c r="R660" s="118"/>
    </row>
    <row r="661" spans="1:18" ht="29" x14ac:dyDescent="0.35">
      <c r="A661" s="67" t="str">
        <f>IF(TRIM(G661)&lt;&gt;"",COUNTA(G$11:$G661)&amp;"","")</f>
        <v>443</v>
      </c>
      <c r="B661" s="311"/>
      <c r="C661" s="311"/>
      <c r="D661" s="30"/>
      <c r="E661" s="65" t="s">
        <v>595</v>
      </c>
      <c r="F661" s="69">
        <v>10.39</v>
      </c>
      <c r="G661" s="70" t="s">
        <v>163</v>
      </c>
      <c r="H661" s="21">
        <v>0.1</v>
      </c>
      <c r="I661" s="47">
        <f t="shared" si="1205"/>
        <v>11.429</v>
      </c>
      <c r="J661" s="265">
        <v>4.2</v>
      </c>
      <c r="K661" s="268">
        <f t="shared" si="1206"/>
        <v>48.001800000000003</v>
      </c>
      <c r="L661" s="258">
        <f t="shared" si="1207"/>
        <v>52</v>
      </c>
      <c r="M661" s="282">
        <v>4.2000000000000003E-2</v>
      </c>
      <c r="N661" s="22">
        <f t="shared" si="1208"/>
        <v>0.48001800000000006</v>
      </c>
      <c r="O661" s="268">
        <f t="shared" si="1209"/>
        <v>24.960936000000004</v>
      </c>
      <c r="P661" s="23">
        <f t="shared" si="1210"/>
        <v>6.3840000000000003</v>
      </c>
      <c r="Q661" s="268">
        <f t="shared" si="1211"/>
        <v>72.962736000000007</v>
      </c>
      <c r="R661" s="118"/>
    </row>
    <row r="662" spans="1:18" x14ac:dyDescent="0.35">
      <c r="A662" s="67" t="str">
        <f>IF(TRIM(G662)&lt;&gt;"",COUNTA(G$11:$G662)&amp;"","")</f>
        <v/>
      </c>
      <c r="B662" s="311"/>
      <c r="C662" s="311"/>
      <c r="D662" s="30"/>
      <c r="E662" s="65"/>
      <c r="F662" s="69"/>
      <c r="G662" s="70"/>
      <c r="H662" s="21" t="str">
        <f t="shared" ref="H662:H685" si="1212">IF(F662=0,"",0)</f>
        <v/>
      </c>
      <c r="I662" s="47" t="str">
        <f t="shared" ref="I662:I685" si="1213">IF(F662=0,"",F662+(F662*H662))</f>
        <v/>
      </c>
      <c r="J662" s="265" t="str">
        <f t="shared" ref="J662:J685" si="1214">IF(F662=0,"",0)</f>
        <v/>
      </c>
      <c r="K662" s="268" t="str">
        <f t="shared" ref="K662:K685" si="1215">IF(F662=0,"",J662*I662)</f>
        <v/>
      </c>
      <c r="L662" s="258" t="str">
        <f t="shared" ref="L662:L688" si="1216">IF(F662=0,"",L$491)</f>
        <v/>
      </c>
      <c r="M662" s="282" t="str">
        <f t="shared" ref="M662:M685" si="1217">IF(F662=0,"",0)</f>
        <v/>
      </c>
      <c r="N662" s="22" t="str">
        <f t="shared" ref="N662:N685" si="1218">IF(F662=0,"",M662*I662)</f>
        <v/>
      </c>
      <c r="O662" s="268" t="str">
        <f t="shared" ref="O662:O685" si="1219">IF(F662=0,"",N662*L662)</f>
        <v/>
      </c>
      <c r="P662" s="23" t="str">
        <f t="shared" ref="P662:P665" si="1220">IF(F662=0,"",(K662+O662)/I662)</f>
        <v/>
      </c>
      <c r="Q662" s="268" t="str">
        <f t="shared" ref="Q662:Q665" si="1221">IF(F662=0,"",(P662*I662))</f>
        <v/>
      </c>
      <c r="R662" s="118"/>
    </row>
    <row r="663" spans="1:18" x14ac:dyDescent="0.35">
      <c r="A663" s="67" t="str">
        <f>IF(TRIM(G663)&lt;&gt;"",COUNTA(G$11:$G663)&amp;"","")</f>
        <v>444</v>
      </c>
      <c r="B663" s="311"/>
      <c r="C663" s="311"/>
      <c r="D663" s="73"/>
      <c r="E663" s="81" t="s">
        <v>54</v>
      </c>
      <c r="F663" s="69">
        <f>ROUNDUP(((((626/40)*28)/180))/2,0)</f>
        <v>2</v>
      </c>
      <c r="G663" s="70" t="s">
        <v>51</v>
      </c>
      <c r="H663" s="21">
        <f t="shared" si="1212"/>
        <v>0</v>
      </c>
      <c r="I663" s="47">
        <f t="shared" si="1213"/>
        <v>2</v>
      </c>
      <c r="J663" s="265">
        <v>12</v>
      </c>
      <c r="K663" s="268">
        <f t="shared" si="1215"/>
        <v>24</v>
      </c>
      <c r="L663" s="258">
        <f t="shared" si="1216"/>
        <v>52</v>
      </c>
      <c r="M663" s="282">
        <v>0.85</v>
      </c>
      <c r="N663" s="22">
        <f t="shared" si="1218"/>
        <v>1.7</v>
      </c>
      <c r="O663" s="268">
        <f t="shared" si="1219"/>
        <v>88.399999999999991</v>
      </c>
      <c r="P663" s="23">
        <f>IF(F663=0,"",(K663+O663)/I663)</f>
        <v>56.199999999999996</v>
      </c>
      <c r="Q663" s="268">
        <f t="shared" si="1221"/>
        <v>112.39999999999999</v>
      </c>
      <c r="R663" s="118"/>
    </row>
    <row r="664" spans="1:18" x14ac:dyDescent="0.35">
      <c r="A664" s="67" t="str">
        <f>IF(TRIM(G664)&lt;&gt;"",COUNTA(G$11:$G664)&amp;"","")</f>
        <v>445</v>
      </c>
      <c r="B664" s="311"/>
      <c r="C664" s="311"/>
      <c r="D664" s="73"/>
      <c r="E664" s="81" t="s">
        <v>49</v>
      </c>
      <c r="F664" s="69">
        <f>ROUNDUP(((626*0.053)/12),0)</f>
        <v>3</v>
      </c>
      <c r="G664" s="70" t="s">
        <v>52</v>
      </c>
      <c r="H664" s="21">
        <f t="shared" si="1212"/>
        <v>0</v>
      </c>
      <c r="I664" s="47">
        <f t="shared" si="1213"/>
        <v>3</v>
      </c>
      <c r="J664" s="265">
        <v>35</v>
      </c>
      <c r="K664" s="268">
        <f t="shared" si="1215"/>
        <v>105</v>
      </c>
      <c r="L664" s="258">
        <f t="shared" si="1216"/>
        <v>52</v>
      </c>
      <c r="M664" s="282">
        <v>0.75</v>
      </c>
      <c r="N664" s="22">
        <f t="shared" si="1218"/>
        <v>2.25</v>
      </c>
      <c r="O664" s="268">
        <f t="shared" si="1219"/>
        <v>117</v>
      </c>
      <c r="P664" s="23">
        <f t="shared" si="1220"/>
        <v>74</v>
      </c>
      <c r="Q664" s="268">
        <f t="shared" si="1221"/>
        <v>222</v>
      </c>
      <c r="R664" s="118"/>
    </row>
    <row r="665" spans="1:18" x14ac:dyDescent="0.35">
      <c r="A665" s="67" t="str">
        <f>IF(TRIM(G665)&lt;&gt;"",COUNTA(G$11:$G665)&amp;"","")</f>
        <v>446</v>
      </c>
      <c r="B665" s="312"/>
      <c r="C665" s="312"/>
      <c r="D665" s="73"/>
      <c r="E665" s="81" t="s">
        <v>50</v>
      </c>
      <c r="F665" s="69">
        <f>ROUNDUP((((626/40)*50)/244),0)</f>
        <v>4</v>
      </c>
      <c r="G665" s="70" t="s">
        <v>53</v>
      </c>
      <c r="H665" s="21">
        <f t="shared" si="1212"/>
        <v>0</v>
      </c>
      <c r="I665" s="47">
        <f t="shared" si="1213"/>
        <v>4</v>
      </c>
      <c r="J665" s="265">
        <v>13.2</v>
      </c>
      <c r="K665" s="268">
        <f t="shared" si="1215"/>
        <v>52.8</v>
      </c>
      <c r="L665" s="258">
        <f t="shared" si="1216"/>
        <v>52</v>
      </c>
      <c r="M665" s="282">
        <v>0.5</v>
      </c>
      <c r="N665" s="22">
        <f t="shared" si="1218"/>
        <v>2</v>
      </c>
      <c r="O665" s="268">
        <f t="shared" si="1219"/>
        <v>104</v>
      </c>
      <c r="P665" s="23">
        <f t="shared" si="1220"/>
        <v>39.200000000000003</v>
      </c>
      <c r="Q665" s="268">
        <f t="shared" si="1221"/>
        <v>156.80000000000001</v>
      </c>
      <c r="R665" s="118"/>
    </row>
    <row r="666" spans="1:18" s="17" customFormat="1" ht="19.25" customHeight="1" x14ac:dyDescent="0.35">
      <c r="A666" s="67" t="str">
        <f>IF(TRIM(G666)&lt;&gt;"",COUNTA(G$11:$G666)&amp;"","")</f>
        <v/>
      </c>
      <c r="B666" s="29"/>
      <c r="C666" s="29"/>
      <c r="D666" s="193">
        <v>93013</v>
      </c>
      <c r="E666" s="191" t="s">
        <v>102</v>
      </c>
      <c r="F666" s="69"/>
      <c r="G666" s="70"/>
      <c r="H666" s="21" t="str">
        <f t="shared" si="1212"/>
        <v/>
      </c>
      <c r="I666" s="47" t="str">
        <f t="shared" si="1213"/>
        <v/>
      </c>
      <c r="J666" s="265" t="str">
        <f t="shared" si="1214"/>
        <v/>
      </c>
      <c r="K666" s="268" t="str">
        <f t="shared" si="1215"/>
        <v/>
      </c>
      <c r="L666" s="258" t="str">
        <f t="shared" si="1216"/>
        <v/>
      </c>
      <c r="M666" s="282" t="str">
        <f t="shared" si="1217"/>
        <v/>
      </c>
      <c r="N666" s="22" t="str">
        <f t="shared" si="1218"/>
        <v/>
      </c>
      <c r="O666" s="268" t="str">
        <f t="shared" si="1219"/>
        <v/>
      </c>
      <c r="P666" s="23" t="str">
        <f t="shared" ref="P666:P688" si="1222">IF(F666=0,"",(K666+O666)/I666)</f>
        <v/>
      </c>
      <c r="Q666" s="268" t="str">
        <f t="shared" ref="Q666:Q688" si="1223">IF(F666=0,"",(P666*I666))</f>
        <v/>
      </c>
      <c r="R666" s="120"/>
    </row>
    <row r="667" spans="1:18" ht="29" x14ac:dyDescent="0.35">
      <c r="A667" s="67" t="str">
        <f>IF(TRIM(G667)&lt;&gt;"",COUNTA(G$11:$G667)&amp;"","")</f>
        <v>447</v>
      </c>
      <c r="B667" s="310" t="s">
        <v>632</v>
      </c>
      <c r="C667" s="310" t="s">
        <v>632</v>
      </c>
      <c r="D667" s="30" t="s">
        <v>575</v>
      </c>
      <c r="E667" s="65" t="s">
        <v>221</v>
      </c>
      <c r="F667" s="69">
        <v>1046</v>
      </c>
      <c r="G667" s="70" t="s">
        <v>163</v>
      </c>
      <c r="H667" s="21">
        <v>0.1</v>
      </c>
      <c r="I667" s="47">
        <f t="shared" si="1213"/>
        <v>1150.5999999999999</v>
      </c>
      <c r="J667" s="265">
        <v>3.6</v>
      </c>
      <c r="K667" s="268">
        <f t="shared" si="1215"/>
        <v>4142.16</v>
      </c>
      <c r="L667" s="258">
        <f t="shared" si="1216"/>
        <v>52</v>
      </c>
      <c r="M667" s="282">
        <v>3.4000000000000002E-2</v>
      </c>
      <c r="N667" s="22">
        <f t="shared" si="1218"/>
        <v>39.120399999999997</v>
      </c>
      <c r="O667" s="268">
        <f t="shared" si="1219"/>
        <v>2034.2607999999998</v>
      </c>
      <c r="P667" s="23">
        <f t="shared" si="1222"/>
        <v>5.3680000000000003</v>
      </c>
      <c r="Q667" s="268">
        <f t="shared" si="1223"/>
        <v>6176.4207999999999</v>
      </c>
      <c r="R667" s="118"/>
    </row>
    <row r="668" spans="1:18" x14ac:dyDescent="0.35">
      <c r="A668" s="67" t="str">
        <f>IF(TRIM(G668)&lt;&gt;"",COUNTA(G$11:$G668)&amp;"","")</f>
        <v/>
      </c>
      <c r="B668" s="311"/>
      <c r="C668" s="311"/>
      <c r="D668" s="30"/>
      <c r="E668" s="65"/>
      <c r="F668" s="69"/>
      <c r="G668" s="70"/>
      <c r="H668" s="21" t="str">
        <f t="shared" si="1212"/>
        <v/>
      </c>
      <c r="I668" s="47" t="str">
        <f t="shared" si="1213"/>
        <v/>
      </c>
      <c r="J668" s="265" t="str">
        <f t="shared" si="1214"/>
        <v/>
      </c>
      <c r="K668" s="268" t="str">
        <f t="shared" si="1215"/>
        <v/>
      </c>
      <c r="L668" s="258" t="str">
        <f t="shared" si="1216"/>
        <v/>
      </c>
      <c r="M668" s="282" t="str">
        <f t="shared" si="1217"/>
        <v/>
      </c>
      <c r="N668" s="22" t="str">
        <f t="shared" si="1218"/>
        <v/>
      </c>
      <c r="O668" s="268" t="str">
        <f t="shared" si="1219"/>
        <v/>
      </c>
      <c r="P668" s="23" t="str">
        <f t="shared" si="1222"/>
        <v/>
      </c>
      <c r="Q668" s="268" t="str">
        <f t="shared" si="1223"/>
        <v/>
      </c>
      <c r="R668" s="118"/>
    </row>
    <row r="669" spans="1:18" s="17" customFormat="1" ht="19.25" customHeight="1" x14ac:dyDescent="0.35">
      <c r="A669" s="67" t="str">
        <f>IF(TRIM(G669)&lt;&gt;"",COUNTA(G$11:$G669)&amp;"","")</f>
        <v/>
      </c>
      <c r="B669" s="311"/>
      <c r="C669" s="311"/>
      <c r="D669" s="193" t="s">
        <v>187</v>
      </c>
      <c r="E669" s="191" t="s">
        <v>336</v>
      </c>
      <c r="F669" s="69"/>
      <c r="G669" s="70"/>
      <c r="H669" s="21" t="str">
        <f t="shared" si="1212"/>
        <v/>
      </c>
      <c r="I669" s="47" t="str">
        <f t="shared" si="1213"/>
        <v/>
      </c>
      <c r="J669" s="265" t="str">
        <f t="shared" si="1214"/>
        <v/>
      </c>
      <c r="K669" s="268" t="str">
        <f t="shared" si="1215"/>
        <v/>
      </c>
      <c r="L669" s="258" t="str">
        <f t="shared" si="1216"/>
        <v/>
      </c>
      <c r="M669" s="282" t="str">
        <f t="shared" si="1217"/>
        <v/>
      </c>
      <c r="N669" s="22" t="str">
        <f t="shared" si="1218"/>
        <v/>
      </c>
      <c r="O669" s="268" t="str">
        <f t="shared" si="1219"/>
        <v/>
      </c>
      <c r="P669" s="23" t="str">
        <f t="shared" si="1222"/>
        <v/>
      </c>
      <c r="Q669" s="268" t="str">
        <f t="shared" si="1223"/>
        <v/>
      </c>
      <c r="R669" s="120"/>
    </row>
    <row r="670" spans="1:18" x14ac:dyDescent="0.35">
      <c r="A670" s="67" t="str">
        <f>IF(TRIM(G670)&lt;&gt;"",COUNTA(G$11:$G670)&amp;"","")</f>
        <v>448</v>
      </c>
      <c r="B670" s="311"/>
      <c r="C670" s="311"/>
      <c r="D670" s="30"/>
      <c r="E670" s="65" t="s">
        <v>337</v>
      </c>
      <c r="F670" s="69">
        <v>62.93</v>
      </c>
      <c r="G670" s="70" t="s">
        <v>163</v>
      </c>
      <c r="H670" s="21">
        <v>0.1</v>
      </c>
      <c r="I670" s="47">
        <f t="shared" si="1213"/>
        <v>69.222999999999999</v>
      </c>
      <c r="J670" s="265">
        <v>5.12</v>
      </c>
      <c r="K670" s="268">
        <f t="shared" si="1215"/>
        <v>354.42176000000001</v>
      </c>
      <c r="L670" s="258">
        <f t="shared" si="1216"/>
        <v>52</v>
      </c>
      <c r="M670" s="282">
        <v>4.2000000000000003E-2</v>
      </c>
      <c r="N670" s="22">
        <f t="shared" si="1218"/>
        <v>2.9073660000000001</v>
      </c>
      <c r="O670" s="268">
        <f t="shared" si="1219"/>
        <v>151.183032</v>
      </c>
      <c r="P670" s="23">
        <f t="shared" si="1222"/>
        <v>7.3039999999999994</v>
      </c>
      <c r="Q670" s="268">
        <f t="shared" si="1223"/>
        <v>505.60479199999997</v>
      </c>
      <c r="R670" s="118"/>
    </row>
    <row r="671" spans="1:18" x14ac:dyDescent="0.35">
      <c r="A671" s="67" t="str">
        <f>IF(TRIM(G671)&lt;&gt;"",COUNTA(G$11:$G671)&amp;"","")</f>
        <v>449</v>
      </c>
      <c r="B671" s="311"/>
      <c r="C671" s="311"/>
      <c r="D671" s="30"/>
      <c r="E671" s="65" t="s">
        <v>338</v>
      </c>
      <c r="F671" s="69">
        <v>428.24</v>
      </c>
      <c r="G671" s="70" t="s">
        <v>163</v>
      </c>
      <c r="H671" s="21">
        <v>0.1</v>
      </c>
      <c r="I671" s="47">
        <f t="shared" si="1213"/>
        <v>471.06400000000002</v>
      </c>
      <c r="J671" s="265">
        <v>5.12</v>
      </c>
      <c r="K671" s="268">
        <f t="shared" si="1215"/>
        <v>2411.8476800000003</v>
      </c>
      <c r="L671" s="258">
        <f t="shared" si="1216"/>
        <v>52</v>
      </c>
      <c r="M671" s="282">
        <v>4.2000000000000003E-2</v>
      </c>
      <c r="N671" s="22">
        <f t="shared" si="1218"/>
        <v>19.784688000000003</v>
      </c>
      <c r="O671" s="268">
        <f t="shared" si="1219"/>
        <v>1028.8037760000002</v>
      </c>
      <c r="P671" s="23">
        <f t="shared" si="1222"/>
        <v>7.3040000000000012</v>
      </c>
      <c r="Q671" s="268">
        <f t="shared" si="1223"/>
        <v>3440.6514560000005</v>
      </c>
      <c r="R671" s="118"/>
    </row>
    <row r="672" spans="1:18" x14ac:dyDescent="0.35">
      <c r="A672" s="67" t="str">
        <f>IF(TRIM(G672)&lt;&gt;"",COUNTA(G$11:$G672)&amp;"","")</f>
        <v/>
      </c>
      <c r="B672" s="311"/>
      <c r="C672" s="311"/>
      <c r="D672" s="30"/>
      <c r="E672" s="65"/>
      <c r="F672" s="69"/>
      <c r="G672" s="70"/>
      <c r="H672" s="21" t="str">
        <f t="shared" si="1212"/>
        <v/>
      </c>
      <c r="I672" s="47" t="str">
        <f t="shared" si="1213"/>
        <v/>
      </c>
      <c r="J672" s="265" t="str">
        <f t="shared" si="1214"/>
        <v/>
      </c>
      <c r="K672" s="268" t="str">
        <f t="shared" si="1215"/>
        <v/>
      </c>
      <c r="L672" s="258" t="str">
        <f t="shared" si="1216"/>
        <v/>
      </c>
      <c r="M672" s="282" t="str">
        <f t="shared" si="1217"/>
        <v/>
      </c>
      <c r="N672" s="22" t="str">
        <f t="shared" si="1218"/>
        <v/>
      </c>
      <c r="O672" s="268" t="str">
        <f t="shared" si="1219"/>
        <v/>
      </c>
      <c r="P672" s="23" t="str">
        <f t="shared" si="1222"/>
        <v/>
      </c>
      <c r="Q672" s="268" t="str">
        <f t="shared" si="1223"/>
        <v/>
      </c>
      <c r="R672" s="118"/>
    </row>
    <row r="673" spans="1:18" x14ac:dyDescent="0.35">
      <c r="A673" s="67" t="str">
        <f>IF(TRIM(G673)&lt;&gt;"",COUNTA(G$11:$G673)&amp;"","")</f>
        <v/>
      </c>
      <c r="B673" s="311"/>
      <c r="C673" s="311"/>
      <c r="D673" s="30"/>
      <c r="E673" s="243" t="s">
        <v>339</v>
      </c>
      <c r="F673" s="69"/>
      <c r="G673" s="70"/>
      <c r="H673" s="21"/>
      <c r="I673" s="47"/>
      <c r="J673" s="265"/>
      <c r="K673" s="268"/>
      <c r="L673" s="258"/>
      <c r="M673" s="282"/>
      <c r="N673" s="22"/>
      <c r="O673" s="268"/>
      <c r="P673" s="23"/>
      <c r="Q673" s="268"/>
      <c r="R673" s="118"/>
    </row>
    <row r="674" spans="1:18" x14ac:dyDescent="0.35">
      <c r="A674" s="67" t="str">
        <f>IF(TRIM(G674)&lt;&gt;"",COUNTA(G$11:$G674)&amp;"","")</f>
        <v>450</v>
      </c>
      <c r="B674" s="311"/>
      <c r="C674" s="311"/>
      <c r="D674" s="30"/>
      <c r="E674" s="65" t="s">
        <v>596</v>
      </c>
      <c r="F674" s="69">
        <v>25.72</v>
      </c>
      <c r="G674" s="70" t="s">
        <v>177</v>
      </c>
      <c r="H674" s="21">
        <v>0.1</v>
      </c>
      <c r="I674" s="47">
        <f t="shared" ref="I674:I675" si="1224">IF(F674=0,"",F674+(F674*H674))</f>
        <v>28.291999999999998</v>
      </c>
      <c r="J674" s="265">
        <v>2.2999999999999998</v>
      </c>
      <c r="K674" s="268">
        <f t="shared" ref="K674:K675" si="1225">IF(F674=0,"",J674*I674)</f>
        <v>65.071599999999989</v>
      </c>
      <c r="L674" s="258">
        <f t="shared" ref="L674:L675" si="1226">IF(F674=0,"",L$491)</f>
        <v>52</v>
      </c>
      <c r="M674" s="282">
        <v>0.03</v>
      </c>
      <c r="N674" s="22">
        <f t="shared" ref="N674:N675" si="1227">IF(F674=0,"",M674*I674)</f>
        <v>0.84875999999999996</v>
      </c>
      <c r="O674" s="268">
        <f t="shared" ref="O674:O675" si="1228">IF(F674=0,"",N674*L674)</f>
        <v>44.13552</v>
      </c>
      <c r="P674" s="23">
        <f t="shared" ref="P674:P675" si="1229">IF(F674=0,"",(K674+O674)/I674)</f>
        <v>3.86</v>
      </c>
      <c r="Q674" s="268">
        <f t="shared" ref="Q674:Q675" si="1230">IF(F674=0,"",(P674*I674))</f>
        <v>109.20711999999999</v>
      </c>
      <c r="R674" s="118"/>
    </row>
    <row r="675" spans="1:18" x14ac:dyDescent="0.35">
      <c r="A675" s="67" t="str">
        <f>IF(TRIM(G675)&lt;&gt;"",COUNTA(G$11:$G675)&amp;"","")</f>
        <v>451</v>
      </c>
      <c r="B675" s="311"/>
      <c r="C675" s="311"/>
      <c r="D675" s="30"/>
      <c r="E675" s="65" t="s">
        <v>340</v>
      </c>
      <c r="F675" s="69">
        <v>49.76</v>
      </c>
      <c r="G675" s="70" t="s">
        <v>177</v>
      </c>
      <c r="H675" s="21">
        <v>0.1</v>
      </c>
      <c r="I675" s="47">
        <f t="shared" si="1224"/>
        <v>54.735999999999997</v>
      </c>
      <c r="J675" s="265">
        <v>2.2999999999999998</v>
      </c>
      <c r="K675" s="268">
        <f t="shared" si="1225"/>
        <v>125.89279999999998</v>
      </c>
      <c r="L675" s="258">
        <f t="shared" si="1226"/>
        <v>52</v>
      </c>
      <c r="M675" s="282">
        <v>0.03</v>
      </c>
      <c r="N675" s="22">
        <f t="shared" si="1227"/>
        <v>1.6420799999999998</v>
      </c>
      <c r="O675" s="268">
        <f t="shared" si="1228"/>
        <v>85.388159999999985</v>
      </c>
      <c r="P675" s="23">
        <f t="shared" si="1229"/>
        <v>3.8599999999999994</v>
      </c>
      <c r="Q675" s="268">
        <f t="shared" si="1230"/>
        <v>211.28095999999996</v>
      </c>
      <c r="R675" s="118"/>
    </row>
    <row r="676" spans="1:18" x14ac:dyDescent="0.35">
      <c r="A676" s="67" t="str">
        <f>IF(TRIM(G676)&lt;&gt;"",COUNTA(G$11:$G676)&amp;"","")</f>
        <v/>
      </c>
      <c r="B676" s="311"/>
      <c r="C676" s="311"/>
      <c r="D676" s="30"/>
      <c r="E676" s="65"/>
      <c r="F676" s="69"/>
      <c r="G676" s="70"/>
      <c r="H676" s="21"/>
      <c r="I676" s="47"/>
      <c r="J676" s="265"/>
      <c r="K676" s="268"/>
      <c r="L676" s="258"/>
      <c r="M676" s="282"/>
      <c r="N676" s="22"/>
      <c r="O676" s="268"/>
      <c r="P676" s="23"/>
      <c r="Q676" s="268"/>
      <c r="R676" s="118"/>
    </row>
    <row r="677" spans="1:18" s="17" customFormat="1" ht="19.25" customHeight="1" x14ac:dyDescent="0.35">
      <c r="A677" s="67" t="str">
        <f>IF(TRIM(G677)&lt;&gt;"",COUNTA(G$11:$G677)&amp;"","")</f>
        <v/>
      </c>
      <c r="B677" s="311"/>
      <c r="C677" s="311"/>
      <c r="D677" s="193" t="s">
        <v>103</v>
      </c>
      <c r="E677" s="191" t="s">
        <v>332</v>
      </c>
      <c r="F677" s="69"/>
      <c r="G677" s="70"/>
      <c r="H677" s="21" t="str">
        <f t="shared" si="1212"/>
        <v/>
      </c>
      <c r="I677" s="47" t="str">
        <f t="shared" si="1213"/>
        <v/>
      </c>
      <c r="J677" s="265" t="str">
        <f t="shared" si="1214"/>
        <v/>
      </c>
      <c r="K677" s="268" t="str">
        <f t="shared" si="1215"/>
        <v/>
      </c>
      <c r="L677" s="258" t="str">
        <f t="shared" si="1216"/>
        <v/>
      </c>
      <c r="M677" s="282" t="str">
        <f t="shared" si="1217"/>
        <v/>
      </c>
      <c r="N677" s="22" t="str">
        <f t="shared" si="1218"/>
        <v/>
      </c>
      <c r="O677" s="268" t="str">
        <f t="shared" si="1219"/>
        <v/>
      </c>
      <c r="P677" s="23" t="str">
        <f t="shared" si="1222"/>
        <v/>
      </c>
      <c r="Q677" s="268" t="str">
        <f t="shared" si="1223"/>
        <v/>
      </c>
      <c r="R677" s="120"/>
    </row>
    <row r="678" spans="1:18" x14ac:dyDescent="0.35">
      <c r="A678" s="67" t="str">
        <f>IF(TRIM(G678)&lt;&gt;"",COUNTA(G$11:$G678)&amp;"","")</f>
        <v>452</v>
      </c>
      <c r="B678" s="311"/>
      <c r="C678" s="311"/>
      <c r="D678" s="30"/>
      <c r="E678" s="65" t="s">
        <v>333</v>
      </c>
      <c r="F678" s="69">
        <v>86.53</v>
      </c>
      <c r="G678" s="70" t="s">
        <v>163</v>
      </c>
      <c r="H678" s="21">
        <v>0.1</v>
      </c>
      <c r="I678" s="47">
        <f t="shared" si="1213"/>
        <v>95.183000000000007</v>
      </c>
      <c r="J678" s="265">
        <v>4.78</v>
      </c>
      <c r="K678" s="268">
        <f t="shared" si="1215"/>
        <v>454.97474000000005</v>
      </c>
      <c r="L678" s="258">
        <f t="shared" si="1216"/>
        <v>52</v>
      </c>
      <c r="M678" s="282">
        <v>0.109</v>
      </c>
      <c r="N678" s="22">
        <f t="shared" si="1218"/>
        <v>10.374947000000001</v>
      </c>
      <c r="O678" s="268">
        <f t="shared" si="1219"/>
        <v>539.49724400000002</v>
      </c>
      <c r="P678" s="23">
        <f t="shared" si="1222"/>
        <v>10.447999999999999</v>
      </c>
      <c r="Q678" s="268">
        <f t="shared" si="1223"/>
        <v>994.47198399999991</v>
      </c>
      <c r="R678" s="118"/>
    </row>
    <row r="679" spans="1:18" x14ac:dyDescent="0.35">
      <c r="A679" s="67" t="str">
        <f>IF(TRIM(G679)&lt;&gt;"",COUNTA(G$11:$G679)&amp;"","")</f>
        <v>453</v>
      </c>
      <c r="B679" s="311"/>
      <c r="C679" s="311"/>
      <c r="D679" s="30"/>
      <c r="E679" s="65" t="s">
        <v>334</v>
      </c>
      <c r="F679" s="69">
        <v>176.79</v>
      </c>
      <c r="G679" s="70" t="s">
        <v>163</v>
      </c>
      <c r="H679" s="21">
        <v>0.1</v>
      </c>
      <c r="I679" s="47">
        <f t="shared" ref="I679:I680" si="1231">IF(F679=0,"",F679+(F679*H679))</f>
        <v>194.46899999999999</v>
      </c>
      <c r="J679" s="265">
        <v>4.78</v>
      </c>
      <c r="K679" s="268">
        <f t="shared" ref="K679:K680" si="1232">IF(F679=0,"",J679*I679)</f>
        <v>929.56182000000001</v>
      </c>
      <c r="L679" s="258">
        <f t="shared" ref="L679:L680" si="1233">IF(F679=0,"",L$491)</f>
        <v>52</v>
      </c>
      <c r="M679" s="282">
        <v>0.109</v>
      </c>
      <c r="N679" s="22">
        <f t="shared" ref="N679:N680" si="1234">IF(F679=0,"",M679*I679)</f>
        <v>21.197120999999999</v>
      </c>
      <c r="O679" s="268">
        <f t="shared" ref="O679:O680" si="1235">IF(F679=0,"",N679*L679)</f>
        <v>1102.2502919999999</v>
      </c>
      <c r="P679" s="23">
        <f t="shared" ref="P679:P680" si="1236">IF(F679=0,"",(K679+O679)/I679)</f>
        <v>10.448</v>
      </c>
      <c r="Q679" s="268">
        <f t="shared" ref="Q679:Q680" si="1237">IF(F679=0,"",(P679*I679))</f>
        <v>2031.8121120000001</v>
      </c>
      <c r="R679" s="118"/>
    </row>
    <row r="680" spans="1:18" x14ac:dyDescent="0.35">
      <c r="A680" s="67" t="str">
        <f>IF(TRIM(G680)&lt;&gt;"",COUNTA(G$11:$G680)&amp;"","")</f>
        <v>454</v>
      </c>
      <c r="B680" s="311"/>
      <c r="C680" s="311"/>
      <c r="D680" s="30"/>
      <c r="E680" s="65" t="s">
        <v>335</v>
      </c>
      <c r="F680" s="69">
        <v>78.540000000000006</v>
      </c>
      <c r="G680" s="70" t="s">
        <v>163</v>
      </c>
      <c r="H680" s="21">
        <v>0.1</v>
      </c>
      <c r="I680" s="47">
        <f t="shared" si="1231"/>
        <v>86.394000000000005</v>
      </c>
      <c r="J680" s="265">
        <v>4.78</v>
      </c>
      <c r="K680" s="268">
        <f t="shared" si="1232"/>
        <v>412.96332000000007</v>
      </c>
      <c r="L680" s="258">
        <f t="shared" si="1233"/>
        <v>52</v>
      </c>
      <c r="M680" s="282">
        <v>0.109</v>
      </c>
      <c r="N680" s="22">
        <f t="shared" si="1234"/>
        <v>9.4169460000000011</v>
      </c>
      <c r="O680" s="268">
        <f t="shared" si="1235"/>
        <v>489.68119200000007</v>
      </c>
      <c r="P680" s="23">
        <f t="shared" si="1236"/>
        <v>10.448</v>
      </c>
      <c r="Q680" s="268">
        <f t="shared" si="1237"/>
        <v>902.64451200000008</v>
      </c>
      <c r="R680" s="118"/>
    </row>
    <row r="681" spans="1:18" x14ac:dyDescent="0.35">
      <c r="A681" s="67" t="str">
        <f>IF(TRIM(G681)&lt;&gt;"",COUNTA(G$11:$G681)&amp;"","")</f>
        <v/>
      </c>
      <c r="B681" s="311"/>
      <c r="C681" s="311"/>
      <c r="D681" s="30"/>
      <c r="E681" s="65"/>
      <c r="F681" s="69"/>
      <c r="G681" s="70"/>
      <c r="H681" s="21" t="str">
        <f t="shared" si="1212"/>
        <v/>
      </c>
      <c r="I681" s="47" t="str">
        <f t="shared" si="1213"/>
        <v/>
      </c>
      <c r="J681" s="265" t="str">
        <f t="shared" si="1214"/>
        <v/>
      </c>
      <c r="K681" s="268" t="str">
        <f t="shared" si="1215"/>
        <v/>
      </c>
      <c r="L681" s="258" t="str">
        <f t="shared" si="1216"/>
        <v/>
      </c>
      <c r="M681" s="282" t="str">
        <f t="shared" si="1217"/>
        <v/>
      </c>
      <c r="N681" s="22" t="str">
        <f t="shared" si="1218"/>
        <v/>
      </c>
      <c r="O681" s="268" t="str">
        <f t="shared" si="1219"/>
        <v/>
      </c>
      <c r="P681" s="23" t="str">
        <f t="shared" si="1222"/>
        <v/>
      </c>
      <c r="Q681" s="268" t="str">
        <f t="shared" si="1223"/>
        <v/>
      </c>
      <c r="R681" s="118"/>
    </row>
    <row r="682" spans="1:18" x14ac:dyDescent="0.35">
      <c r="A682" s="67" t="str">
        <f>IF(TRIM(G682)&lt;&gt;"",COUNTA(G$11:$G682)&amp;"","")</f>
        <v/>
      </c>
      <c r="B682" s="311"/>
      <c r="C682" s="311"/>
      <c r="D682" s="30"/>
      <c r="E682" s="243" t="s">
        <v>339</v>
      </c>
      <c r="F682" s="69"/>
      <c r="G682" s="70"/>
      <c r="H682" s="21"/>
      <c r="I682" s="47"/>
      <c r="J682" s="265"/>
      <c r="K682" s="268"/>
      <c r="L682" s="258"/>
      <c r="M682" s="282"/>
      <c r="N682" s="22"/>
      <c r="O682" s="268"/>
      <c r="P682" s="23"/>
      <c r="Q682" s="268"/>
      <c r="R682" s="118"/>
    </row>
    <row r="683" spans="1:18" x14ac:dyDescent="0.35">
      <c r="A683" s="67" t="str">
        <f>IF(TRIM(G683)&lt;&gt;"",COUNTA(G$11:$G683)&amp;"","")</f>
        <v>455</v>
      </c>
      <c r="B683" s="311"/>
      <c r="C683" s="311"/>
      <c r="D683" s="30"/>
      <c r="E683" s="65" t="s">
        <v>341</v>
      </c>
      <c r="F683" s="69">
        <v>31.49</v>
      </c>
      <c r="G683" s="70" t="s">
        <v>177</v>
      </c>
      <c r="H683" s="21">
        <v>0.1</v>
      </c>
      <c r="I683" s="47">
        <f t="shared" ref="I683:I684" si="1238">IF(F683=0,"",F683+(F683*H683))</f>
        <v>34.638999999999996</v>
      </c>
      <c r="J683" s="265">
        <v>3.2</v>
      </c>
      <c r="K683" s="268">
        <f t="shared" ref="K683:K684" si="1239">IF(F683=0,"",J683*I683)</f>
        <v>110.84479999999999</v>
      </c>
      <c r="L683" s="258">
        <f t="shared" ref="L683:L684" si="1240">IF(F683=0,"",L$491)</f>
        <v>52</v>
      </c>
      <c r="M683" s="282">
        <v>4.4999999999999998E-2</v>
      </c>
      <c r="N683" s="22">
        <f t="shared" ref="N683:N684" si="1241">IF(F683=0,"",M683*I683)</f>
        <v>1.5587549999999997</v>
      </c>
      <c r="O683" s="268">
        <f t="shared" ref="O683:O684" si="1242">IF(F683=0,"",N683*L683)</f>
        <v>81.055259999999976</v>
      </c>
      <c r="P683" s="23">
        <f t="shared" ref="P683:P684" si="1243">IF(F683=0,"",(K683+O683)/I683)</f>
        <v>5.54</v>
      </c>
      <c r="Q683" s="268">
        <f t="shared" ref="Q683:Q684" si="1244">IF(F683=0,"",(P683*I683))</f>
        <v>191.90005999999997</v>
      </c>
      <c r="R683" s="118"/>
    </row>
    <row r="684" spans="1:18" x14ac:dyDescent="0.35">
      <c r="A684" s="67" t="str">
        <f>IF(TRIM(G684)&lt;&gt;"",COUNTA(G$11:$G684)&amp;"","")</f>
        <v>456</v>
      </c>
      <c r="B684" s="311"/>
      <c r="C684" s="311"/>
      <c r="D684" s="30"/>
      <c r="E684" s="65" t="s">
        <v>342</v>
      </c>
      <c r="F684" s="69">
        <v>25.84</v>
      </c>
      <c r="G684" s="70" t="s">
        <v>177</v>
      </c>
      <c r="H684" s="21">
        <v>0.1</v>
      </c>
      <c r="I684" s="47">
        <f t="shared" si="1238"/>
        <v>28.423999999999999</v>
      </c>
      <c r="J684" s="265">
        <v>3.2</v>
      </c>
      <c r="K684" s="268">
        <f t="shared" si="1239"/>
        <v>90.956800000000001</v>
      </c>
      <c r="L684" s="258">
        <f t="shared" si="1240"/>
        <v>52</v>
      </c>
      <c r="M684" s="282">
        <v>4.4999999999999998E-2</v>
      </c>
      <c r="N684" s="22">
        <f t="shared" si="1241"/>
        <v>1.27908</v>
      </c>
      <c r="O684" s="268">
        <f t="shared" si="1242"/>
        <v>66.512159999999994</v>
      </c>
      <c r="P684" s="23">
        <f t="shared" si="1243"/>
        <v>5.5399999999999991</v>
      </c>
      <c r="Q684" s="268">
        <f t="shared" si="1244"/>
        <v>157.46895999999998</v>
      </c>
      <c r="R684" s="118"/>
    </row>
    <row r="685" spans="1:18" x14ac:dyDescent="0.35">
      <c r="A685" s="67" t="str">
        <f>IF(TRIM(G685)&lt;&gt;"",COUNTA(G$11:$G685)&amp;"","")</f>
        <v/>
      </c>
      <c r="B685" s="311"/>
      <c r="C685" s="311"/>
      <c r="D685" s="30"/>
      <c r="E685" s="65"/>
      <c r="F685" s="69"/>
      <c r="G685" s="70"/>
      <c r="H685" s="21" t="str">
        <f t="shared" si="1212"/>
        <v/>
      </c>
      <c r="I685" s="47" t="str">
        <f t="shared" si="1213"/>
        <v/>
      </c>
      <c r="J685" s="265" t="str">
        <f t="shared" si="1214"/>
        <v/>
      </c>
      <c r="K685" s="268" t="str">
        <f t="shared" si="1215"/>
        <v/>
      </c>
      <c r="L685" s="258" t="str">
        <f t="shared" si="1216"/>
        <v/>
      </c>
      <c r="M685" s="282" t="str">
        <f t="shared" si="1217"/>
        <v/>
      </c>
      <c r="N685" s="22" t="str">
        <f t="shared" si="1218"/>
        <v/>
      </c>
      <c r="O685" s="268" t="str">
        <f t="shared" si="1219"/>
        <v/>
      </c>
      <c r="P685" s="23" t="str">
        <f t="shared" si="1222"/>
        <v/>
      </c>
      <c r="Q685" s="268" t="str">
        <f t="shared" si="1223"/>
        <v/>
      </c>
      <c r="R685" s="118"/>
    </row>
    <row r="686" spans="1:18" s="17" customFormat="1" ht="19.25" customHeight="1" x14ac:dyDescent="0.35">
      <c r="A686" s="67" t="str">
        <f>IF(TRIM(G686)&lt;&gt;"",COUNTA(G$11:$G686)&amp;"","")</f>
        <v/>
      </c>
      <c r="B686" s="311"/>
      <c r="C686" s="311"/>
      <c r="D686" s="193" t="s">
        <v>185</v>
      </c>
      <c r="E686" s="191" t="s">
        <v>186</v>
      </c>
      <c r="F686" s="69"/>
      <c r="G686" s="70"/>
      <c r="H686" s="21" t="str">
        <f t="shared" ref="H686:H688" si="1245">IF(F686=0,"",0)</f>
        <v/>
      </c>
      <c r="I686" s="47" t="str">
        <f t="shared" ref="I686:I688" si="1246">IF(F686=0,"",F686+(F686*H686))</f>
        <v/>
      </c>
      <c r="J686" s="265" t="str">
        <f t="shared" ref="J686:J688" si="1247">IF(F686=0,"",0)</f>
        <v/>
      </c>
      <c r="K686" s="268" t="str">
        <f t="shared" ref="K686:K688" si="1248">IF(F686=0,"",J686*I686)</f>
        <v/>
      </c>
      <c r="L686" s="258" t="str">
        <f t="shared" si="1216"/>
        <v/>
      </c>
      <c r="M686" s="282" t="str">
        <f t="shared" ref="M686:M688" si="1249">IF(F686=0,"",0)</f>
        <v/>
      </c>
      <c r="N686" s="22" t="str">
        <f t="shared" ref="N686:N688" si="1250">IF(F686=0,"",M686*I686)</f>
        <v/>
      </c>
      <c r="O686" s="268" t="str">
        <f t="shared" ref="O686:O688" si="1251">IF(F686=0,"",N686*L686)</f>
        <v/>
      </c>
      <c r="P686" s="23" t="str">
        <f t="shared" si="1222"/>
        <v/>
      </c>
      <c r="Q686" s="268" t="str">
        <f t="shared" si="1223"/>
        <v/>
      </c>
      <c r="R686" s="120"/>
    </row>
    <row r="687" spans="1:18" x14ac:dyDescent="0.35">
      <c r="A687" s="67" t="str">
        <f>IF(TRIM(G687)&lt;&gt;"",COUNTA(G$11:$G687)&amp;"","")</f>
        <v>457</v>
      </c>
      <c r="B687" s="311"/>
      <c r="C687" s="311"/>
      <c r="D687" s="30"/>
      <c r="E687" s="65" t="s">
        <v>343</v>
      </c>
      <c r="F687" s="69">
        <v>28.1</v>
      </c>
      <c r="G687" s="70" t="s">
        <v>177</v>
      </c>
      <c r="H687" s="21">
        <v>0.1</v>
      </c>
      <c r="I687" s="47">
        <f t="shared" si="1246"/>
        <v>30.910000000000004</v>
      </c>
      <c r="J687" s="265">
        <v>2.2999999999999998</v>
      </c>
      <c r="K687" s="268">
        <f t="shared" si="1248"/>
        <v>71.093000000000004</v>
      </c>
      <c r="L687" s="258">
        <f t="shared" si="1216"/>
        <v>52</v>
      </c>
      <c r="M687" s="282">
        <v>0.03</v>
      </c>
      <c r="N687" s="22">
        <f t="shared" si="1250"/>
        <v>0.92730000000000012</v>
      </c>
      <c r="O687" s="268">
        <f t="shared" si="1251"/>
        <v>48.219600000000007</v>
      </c>
      <c r="P687" s="23">
        <f t="shared" si="1222"/>
        <v>3.8599999999999994</v>
      </c>
      <c r="Q687" s="268">
        <f t="shared" si="1223"/>
        <v>119.3126</v>
      </c>
      <c r="R687" s="118"/>
    </row>
    <row r="688" spans="1:18" x14ac:dyDescent="0.35">
      <c r="A688" s="67" t="str">
        <f>IF(TRIM(G688)&lt;&gt;"",COUNTA(G$11:$G688)&amp;"","")</f>
        <v/>
      </c>
      <c r="B688" s="311"/>
      <c r="C688" s="311"/>
      <c r="D688" s="30"/>
      <c r="E688" s="65"/>
      <c r="F688" s="69"/>
      <c r="G688" s="70"/>
      <c r="H688" s="21" t="str">
        <f t="shared" si="1245"/>
        <v/>
      </c>
      <c r="I688" s="47" t="str">
        <f t="shared" si="1246"/>
        <v/>
      </c>
      <c r="J688" s="265" t="str">
        <f t="shared" si="1247"/>
        <v/>
      </c>
      <c r="K688" s="268" t="str">
        <f t="shared" si="1248"/>
        <v/>
      </c>
      <c r="L688" s="258" t="str">
        <f t="shared" si="1216"/>
        <v/>
      </c>
      <c r="M688" s="282" t="str">
        <f t="shared" si="1249"/>
        <v/>
      </c>
      <c r="N688" s="22" t="str">
        <f t="shared" si="1250"/>
        <v/>
      </c>
      <c r="O688" s="268" t="str">
        <f t="shared" si="1251"/>
        <v/>
      </c>
      <c r="P688" s="23" t="str">
        <f t="shared" si="1222"/>
        <v/>
      </c>
      <c r="Q688" s="268" t="str">
        <f t="shared" si="1223"/>
        <v/>
      </c>
      <c r="R688" s="118"/>
    </row>
    <row r="689" spans="1:18" s="17" customFormat="1" ht="19.25" customHeight="1" x14ac:dyDescent="0.35">
      <c r="A689" s="67" t="str">
        <f>IF(TRIM(G689)&lt;&gt;"",COUNTA(G$11:$G689)&amp;"","")</f>
        <v/>
      </c>
      <c r="B689" s="311"/>
      <c r="C689" s="311"/>
      <c r="D689" s="193" t="s">
        <v>105</v>
      </c>
      <c r="E689" s="191" t="s">
        <v>104</v>
      </c>
      <c r="F689" s="69"/>
      <c r="G689" s="70"/>
      <c r="H689" s="21" t="str">
        <f t="shared" ref="H689:H703" si="1252">IF(F689=0,"",0)</f>
        <v/>
      </c>
      <c r="I689" s="47" t="str">
        <f t="shared" ref="I689:I712" si="1253">IF(F689=0,"",F689+(F689*H689))</f>
        <v/>
      </c>
      <c r="J689" s="265" t="str">
        <f t="shared" ref="J689:J712" si="1254">IF(F689=0,"",0)</f>
        <v/>
      </c>
      <c r="K689" s="268" t="str">
        <f t="shared" ref="K689:K712" si="1255">IF(F689=0,"",J689*I689)</f>
        <v/>
      </c>
      <c r="L689" s="258" t="str">
        <f>IF(F689=0,"",L$491)</f>
        <v/>
      </c>
      <c r="M689" s="282" t="str">
        <f t="shared" ref="M689:M712" si="1256">IF(F689=0,"",0)</f>
        <v/>
      </c>
      <c r="N689" s="22" t="str">
        <f t="shared" ref="N689:N712" si="1257">IF(F689=0,"",M689*I689)</f>
        <v/>
      </c>
      <c r="O689" s="268" t="str">
        <f t="shared" ref="O689:O712" si="1258">IF(F689=0,"",N689*L689)</f>
        <v/>
      </c>
      <c r="P689" s="23" t="str">
        <f t="shared" ref="P689:P712" si="1259">IF(F689=0,"",(K689+O689)/I689)</f>
        <v/>
      </c>
      <c r="Q689" s="268" t="str">
        <f t="shared" ref="Q689:Q712" si="1260">IF(F689=0,"",(P689*I689))</f>
        <v/>
      </c>
      <c r="R689" s="120"/>
    </row>
    <row r="690" spans="1:18" x14ac:dyDescent="0.35">
      <c r="A690" s="67" t="str">
        <f>IF(TRIM(G690)&lt;&gt;"",COUNTA(G$11:$G690)&amp;"","")</f>
        <v>458</v>
      </c>
      <c r="B690" s="311"/>
      <c r="C690" s="311"/>
      <c r="D690" s="30"/>
      <c r="E690" s="65" t="s">
        <v>344</v>
      </c>
      <c r="F690" s="69">
        <v>220.51</v>
      </c>
      <c r="G690" s="70" t="s">
        <v>163</v>
      </c>
      <c r="H690" s="21">
        <v>0.1</v>
      </c>
      <c r="I690" s="47">
        <f t="shared" si="1253"/>
        <v>242.56099999999998</v>
      </c>
      <c r="J690" s="265">
        <v>8.5</v>
      </c>
      <c r="K690" s="268">
        <f t="shared" si="1255"/>
        <v>2061.7684999999997</v>
      </c>
      <c r="L690" s="258">
        <f>IF(F690=0,"",L$491)</f>
        <v>52</v>
      </c>
      <c r="M690" s="282">
        <v>0.109</v>
      </c>
      <c r="N690" s="22">
        <f t="shared" si="1257"/>
        <v>26.439148999999997</v>
      </c>
      <c r="O690" s="268">
        <f t="shared" si="1258"/>
        <v>1374.8357479999997</v>
      </c>
      <c r="P690" s="23">
        <f t="shared" si="1259"/>
        <v>14.167999999999999</v>
      </c>
      <c r="Q690" s="268">
        <f t="shared" si="1260"/>
        <v>3436.6042479999996</v>
      </c>
      <c r="R690" s="118"/>
    </row>
    <row r="691" spans="1:18" x14ac:dyDescent="0.35">
      <c r="A691" s="67" t="str">
        <f>IF(TRIM(G691)&lt;&gt;"",COUNTA(G$11:$G691)&amp;"","")</f>
        <v>459</v>
      </c>
      <c r="B691" s="311"/>
      <c r="C691" s="311"/>
      <c r="D691" s="30"/>
      <c r="E691" s="65" t="s">
        <v>597</v>
      </c>
      <c r="F691" s="69">
        <v>124</v>
      </c>
      <c r="G691" s="70" t="s">
        <v>163</v>
      </c>
      <c r="H691" s="21">
        <v>0.1</v>
      </c>
      <c r="I691" s="47">
        <f t="shared" ref="I691:I693" si="1261">IF(F691=0,"",F691+(F691*H691))</f>
        <v>136.4</v>
      </c>
      <c r="J691" s="265">
        <v>1.0900000000000001</v>
      </c>
      <c r="K691" s="268">
        <f t="shared" ref="K691:K693" si="1262">IF(F691=0,"",J691*I691)</f>
        <v>148.67600000000002</v>
      </c>
      <c r="L691" s="258">
        <f t="shared" ref="L691:L693" si="1263">IF(F691=0,"",L$491)</f>
        <v>52</v>
      </c>
      <c r="M691" s="282">
        <v>3.5999999999999997E-2</v>
      </c>
      <c r="N691" s="22">
        <f t="shared" ref="N691:N693" si="1264">IF(F691=0,"",M691*I691)</f>
        <v>4.9104000000000001</v>
      </c>
      <c r="O691" s="268">
        <f t="shared" ref="O691:O693" si="1265">IF(F691=0,"",N691*L691)</f>
        <v>255.3408</v>
      </c>
      <c r="P691" s="23">
        <f t="shared" ref="P691:P693" si="1266">IF(F691=0,"",(K691+O691)/I691)</f>
        <v>2.9619999999999997</v>
      </c>
      <c r="Q691" s="268">
        <f t="shared" ref="Q691:Q693" si="1267">IF(F691=0,"",(P691*I691))</f>
        <v>404.01679999999999</v>
      </c>
      <c r="R691" s="118"/>
    </row>
    <row r="692" spans="1:18" x14ac:dyDescent="0.35">
      <c r="A692" s="67" t="str">
        <f>IF(TRIM(G692)&lt;&gt;"",COUNTA(G$11:$G692)&amp;"","")</f>
        <v>460</v>
      </c>
      <c r="B692" s="311"/>
      <c r="C692" s="311"/>
      <c r="D692" s="30"/>
      <c r="E692" s="65" t="s">
        <v>345</v>
      </c>
      <c r="F692" s="69">
        <v>557.06500000000005</v>
      </c>
      <c r="G692" s="70" t="s">
        <v>163</v>
      </c>
      <c r="H692" s="21">
        <v>0.1</v>
      </c>
      <c r="I692" s="47">
        <f t="shared" si="1261"/>
        <v>612.77150000000006</v>
      </c>
      <c r="J692" s="265">
        <v>5.12</v>
      </c>
      <c r="K692" s="268">
        <f t="shared" si="1262"/>
        <v>3137.3900800000006</v>
      </c>
      <c r="L692" s="258">
        <f t="shared" si="1263"/>
        <v>52</v>
      </c>
      <c r="M692" s="282">
        <v>4.2000000000000003E-2</v>
      </c>
      <c r="N692" s="22">
        <f t="shared" si="1264"/>
        <v>25.736403000000003</v>
      </c>
      <c r="O692" s="268">
        <f t="shared" si="1265"/>
        <v>1338.2929560000002</v>
      </c>
      <c r="P692" s="23">
        <f t="shared" si="1266"/>
        <v>7.3040000000000003</v>
      </c>
      <c r="Q692" s="268">
        <f t="shared" si="1267"/>
        <v>4475.6830360000004</v>
      </c>
      <c r="R692" s="118"/>
    </row>
    <row r="693" spans="1:18" x14ac:dyDescent="0.35">
      <c r="A693" s="67" t="str">
        <f>IF(TRIM(G693)&lt;&gt;"",COUNTA(G$11:$G693)&amp;"","")</f>
        <v>461</v>
      </c>
      <c r="B693" s="311"/>
      <c r="C693" s="311"/>
      <c r="D693" s="30"/>
      <c r="E693" s="65" t="s">
        <v>346</v>
      </c>
      <c r="F693" s="69">
        <f>7.5*25.9</f>
        <v>194.25</v>
      </c>
      <c r="G693" s="70" t="s">
        <v>163</v>
      </c>
      <c r="H693" s="21">
        <v>0.1</v>
      </c>
      <c r="I693" s="47">
        <f t="shared" si="1261"/>
        <v>213.67500000000001</v>
      </c>
      <c r="J693" s="265">
        <v>5.12</v>
      </c>
      <c r="K693" s="268">
        <f t="shared" si="1262"/>
        <v>1094.0160000000001</v>
      </c>
      <c r="L693" s="258">
        <f t="shared" si="1263"/>
        <v>52</v>
      </c>
      <c r="M693" s="282">
        <v>4.2000000000000003E-2</v>
      </c>
      <c r="N693" s="22">
        <f t="shared" si="1264"/>
        <v>8.9743500000000012</v>
      </c>
      <c r="O693" s="268">
        <f t="shared" si="1265"/>
        <v>466.66620000000006</v>
      </c>
      <c r="P693" s="23">
        <f t="shared" si="1266"/>
        <v>7.3040000000000003</v>
      </c>
      <c r="Q693" s="268">
        <f t="shared" si="1267"/>
        <v>1560.6822000000002</v>
      </c>
      <c r="R693" s="118"/>
    </row>
    <row r="694" spans="1:18" x14ac:dyDescent="0.35">
      <c r="A694" s="67" t="str">
        <f>IF(TRIM(G694)&lt;&gt;"",COUNTA(G$11:$G694)&amp;"","")</f>
        <v/>
      </c>
      <c r="B694" s="311"/>
      <c r="C694" s="311"/>
      <c r="D694" s="30"/>
      <c r="E694" s="65"/>
      <c r="F694" s="69"/>
      <c r="G694" s="70"/>
      <c r="H694" s="21" t="str">
        <f t="shared" si="1252"/>
        <v/>
      </c>
      <c r="I694" s="47" t="str">
        <f t="shared" si="1253"/>
        <v/>
      </c>
      <c r="J694" s="265" t="str">
        <f t="shared" si="1254"/>
        <v/>
      </c>
      <c r="K694" s="268" t="str">
        <f t="shared" si="1255"/>
        <v/>
      </c>
      <c r="L694" s="258" t="str">
        <f>IF(F694=0,"",L$491)</f>
        <v/>
      </c>
      <c r="M694" s="282" t="str">
        <f t="shared" si="1256"/>
        <v/>
      </c>
      <c r="N694" s="22" t="str">
        <f t="shared" si="1257"/>
        <v/>
      </c>
      <c r="O694" s="268" t="str">
        <f t="shared" si="1258"/>
        <v/>
      </c>
      <c r="P694" s="23" t="str">
        <f t="shared" si="1259"/>
        <v/>
      </c>
      <c r="Q694" s="268" t="str">
        <f t="shared" si="1260"/>
        <v/>
      </c>
      <c r="R694" s="118"/>
    </row>
    <row r="695" spans="1:18" s="17" customFormat="1" ht="19.25" customHeight="1" x14ac:dyDescent="0.35">
      <c r="A695" s="67" t="str">
        <f>IF(TRIM(G695)&lt;&gt;"",COUNTA(G$11:$G695)&amp;"","")</f>
        <v/>
      </c>
      <c r="B695" s="311"/>
      <c r="C695" s="311"/>
      <c r="D695" s="193" t="s">
        <v>107</v>
      </c>
      <c r="E695" s="191" t="s">
        <v>106</v>
      </c>
      <c r="F695" s="69"/>
      <c r="G695" s="70"/>
      <c r="H695" s="21" t="str">
        <f t="shared" si="1252"/>
        <v/>
      </c>
      <c r="I695" s="47" t="str">
        <f t="shared" si="1253"/>
        <v/>
      </c>
      <c r="J695" s="265" t="str">
        <f t="shared" si="1254"/>
        <v/>
      </c>
      <c r="K695" s="268" t="str">
        <f t="shared" si="1255"/>
        <v/>
      </c>
      <c r="L695" s="258" t="str">
        <f>IF(F695=0,"",L$491)</f>
        <v/>
      </c>
      <c r="M695" s="282" t="str">
        <f t="shared" si="1256"/>
        <v/>
      </c>
      <c r="N695" s="22" t="str">
        <f t="shared" si="1257"/>
        <v/>
      </c>
      <c r="O695" s="268" t="str">
        <f t="shared" si="1258"/>
        <v/>
      </c>
      <c r="P695" s="23" t="str">
        <f t="shared" si="1259"/>
        <v/>
      </c>
      <c r="Q695" s="268" t="str">
        <f t="shared" si="1260"/>
        <v/>
      </c>
      <c r="R695" s="120"/>
    </row>
    <row r="696" spans="1:18" x14ac:dyDescent="0.35">
      <c r="A696" s="67" t="str">
        <f>IF(TRIM(G696)&lt;&gt;"",COUNTA(G$11:$G696)&amp;"","")</f>
        <v/>
      </c>
      <c r="B696" s="311"/>
      <c r="C696" s="311"/>
      <c r="D696" s="30"/>
      <c r="E696" s="240" t="s">
        <v>224</v>
      </c>
      <c r="F696" s="69"/>
      <c r="G696" s="70"/>
      <c r="H696" s="21" t="str">
        <f t="shared" si="1252"/>
        <v/>
      </c>
      <c r="I696" s="47" t="str">
        <f t="shared" si="1253"/>
        <v/>
      </c>
      <c r="J696" s="265" t="str">
        <f t="shared" si="1254"/>
        <v/>
      </c>
      <c r="K696" s="268" t="str">
        <f t="shared" si="1255"/>
        <v/>
      </c>
      <c r="L696" s="258" t="str">
        <f t="shared" ref="L696:L701" si="1268">IF(F696=0,"",L$491)</f>
        <v/>
      </c>
      <c r="M696" s="282" t="str">
        <f t="shared" si="1256"/>
        <v/>
      </c>
      <c r="N696" s="22" t="str">
        <f t="shared" si="1257"/>
        <v/>
      </c>
      <c r="O696" s="268" t="str">
        <f t="shared" si="1258"/>
        <v/>
      </c>
      <c r="P696" s="23" t="str">
        <f t="shared" si="1259"/>
        <v/>
      </c>
      <c r="Q696" s="268" t="str">
        <f t="shared" si="1260"/>
        <v/>
      </c>
      <c r="R696" s="118"/>
    </row>
    <row r="697" spans="1:18" ht="29" x14ac:dyDescent="0.35">
      <c r="A697" s="67" t="str">
        <f>IF(TRIM(G697)&lt;&gt;"",COUNTA(G$11:$G697)&amp;"","")</f>
        <v>462</v>
      </c>
      <c r="B697" s="311"/>
      <c r="C697" s="311"/>
      <c r="D697" s="30"/>
      <c r="E697" s="52" t="s">
        <v>573</v>
      </c>
      <c r="F697" s="69">
        <v>341</v>
      </c>
      <c r="G697" s="70" t="s">
        <v>163</v>
      </c>
      <c r="H697" s="21">
        <v>0.1</v>
      </c>
      <c r="I697" s="47">
        <f t="shared" si="1253"/>
        <v>375.1</v>
      </c>
      <c r="J697" s="265">
        <v>0.4</v>
      </c>
      <c r="K697" s="268">
        <f t="shared" si="1255"/>
        <v>150.04000000000002</v>
      </c>
      <c r="L697" s="258">
        <f t="shared" si="1268"/>
        <v>52</v>
      </c>
      <c r="M697" s="282">
        <v>0.02</v>
      </c>
      <c r="N697" s="22">
        <f t="shared" si="1257"/>
        <v>7.5020000000000007</v>
      </c>
      <c r="O697" s="268">
        <f t="shared" si="1258"/>
        <v>390.10400000000004</v>
      </c>
      <c r="P697" s="23">
        <f t="shared" si="1259"/>
        <v>1.44</v>
      </c>
      <c r="Q697" s="268">
        <f t="shared" si="1260"/>
        <v>540.14400000000001</v>
      </c>
      <c r="R697" s="118"/>
    </row>
    <row r="698" spans="1:18" ht="29" x14ac:dyDescent="0.35">
      <c r="A698" s="67" t="str">
        <f>IF(TRIM(G698)&lt;&gt;"",COUNTA(G$11:$G698)&amp;"","")</f>
        <v>463</v>
      </c>
      <c r="B698" s="311"/>
      <c r="C698" s="311"/>
      <c r="D698" s="30"/>
      <c r="E698" s="52" t="s">
        <v>572</v>
      </c>
      <c r="F698" s="69">
        <v>751</v>
      </c>
      <c r="G698" s="70" t="s">
        <v>163</v>
      </c>
      <c r="H698" s="21">
        <v>0.1</v>
      </c>
      <c r="I698" s="47">
        <f t="shared" ref="I698" si="1269">IF(F698=0,"",F698+(F698*H698))</f>
        <v>826.1</v>
      </c>
      <c r="J698" s="265">
        <v>0.4</v>
      </c>
      <c r="K698" s="268">
        <f t="shared" ref="K698" si="1270">IF(F698=0,"",J698*I698)</f>
        <v>330.44000000000005</v>
      </c>
      <c r="L698" s="258">
        <f t="shared" ref="L698" si="1271">IF(F698=0,"",L$491)</f>
        <v>52</v>
      </c>
      <c r="M698" s="282">
        <v>0.02</v>
      </c>
      <c r="N698" s="22">
        <f t="shared" ref="N698" si="1272">IF(F698=0,"",M698*I698)</f>
        <v>16.522000000000002</v>
      </c>
      <c r="O698" s="268">
        <f t="shared" ref="O698" si="1273">IF(F698=0,"",N698*L698)</f>
        <v>859.14400000000012</v>
      </c>
      <c r="P698" s="23">
        <f t="shared" ref="P698" si="1274">IF(F698=0,"",(K698+O698)/I698)</f>
        <v>1.4400000000000004</v>
      </c>
      <c r="Q698" s="268">
        <f t="shared" ref="Q698" si="1275">IF(F698=0,"",(P698*I698))</f>
        <v>1189.5840000000003</v>
      </c>
      <c r="R698" s="118"/>
    </row>
    <row r="699" spans="1:18" x14ac:dyDescent="0.35">
      <c r="A699" s="67" t="str">
        <f>IF(TRIM(G699)&lt;&gt;"",COUNTA(G$11:$G699)&amp;"","")</f>
        <v/>
      </c>
      <c r="B699" s="311"/>
      <c r="C699" s="311"/>
      <c r="D699" s="30"/>
      <c r="E699" s="52"/>
      <c r="F699" s="69"/>
      <c r="G699" s="70"/>
      <c r="H699" s="21"/>
      <c r="I699" s="47"/>
      <c r="J699" s="265"/>
      <c r="K699" s="268"/>
      <c r="L699" s="258"/>
      <c r="M699" s="282"/>
      <c r="N699" s="22"/>
      <c r="O699" s="268"/>
      <c r="P699" s="23"/>
      <c r="Q699" s="268"/>
      <c r="R699" s="118"/>
    </row>
    <row r="700" spans="1:18" x14ac:dyDescent="0.35">
      <c r="A700" s="67" t="str">
        <f>IF(TRIM(G700)&lt;&gt;"",COUNTA(G$11:$G700)&amp;"","")</f>
        <v/>
      </c>
      <c r="B700" s="311"/>
      <c r="C700" s="311"/>
      <c r="D700" s="30"/>
      <c r="E700" s="240" t="s">
        <v>225</v>
      </c>
      <c r="F700" s="69"/>
      <c r="G700" s="70"/>
      <c r="H700" s="21" t="str">
        <f t="shared" si="1252"/>
        <v/>
      </c>
      <c r="I700" s="47" t="str">
        <f t="shared" si="1253"/>
        <v/>
      </c>
      <c r="J700" s="265" t="str">
        <f t="shared" si="1254"/>
        <v/>
      </c>
      <c r="K700" s="268" t="str">
        <f t="shared" si="1255"/>
        <v/>
      </c>
      <c r="L700" s="258" t="str">
        <f t="shared" si="1268"/>
        <v/>
      </c>
      <c r="M700" s="282" t="str">
        <f t="shared" si="1256"/>
        <v/>
      </c>
      <c r="N700" s="22" t="str">
        <f t="shared" si="1257"/>
        <v/>
      </c>
      <c r="O700" s="268" t="str">
        <f t="shared" si="1258"/>
        <v/>
      </c>
      <c r="P700" s="23" t="str">
        <f t="shared" si="1259"/>
        <v/>
      </c>
      <c r="Q700" s="268" t="str">
        <f t="shared" si="1260"/>
        <v/>
      </c>
      <c r="R700" s="118"/>
    </row>
    <row r="701" spans="1:18" ht="29" x14ac:dyDescent="0.35">
      <c r="A701" s="67" t="str">
        <f>IF(TRIM(G701)&lt;&gt;"",COUNTA(G$11:$G701)&amp;"","")</f>
        <v>464</v>
      </c>
      <c r="B701" s="311"/>
      <c r="C701" s="311"/>
      <c r="D701" s="30"/>
      <c r="E701" s="52" t="s">
        <v>571</v>
      </c>
      <c r="F701" s="69">
        <v>162</v>
      </c>
      <c r="G701" s="70" t="s">
        <v>163</v>
      </c>
      <c r="H701" s="21">
        <v>0.1</v>
      </c>
      <c r="I701" s="47">
        <f t="shared" si="1253"/>
        <v>178.2</v>
      </c>
      <c r="J701" s="265">
        <v>0.4</v>
      </c>
      <c r="K701" s="268">
        <f t="shared" si="1255"/>
        <v>71.28</v>
      </c>
      <c r="L701" s="258">
        <f t="shared" si="1268"/>
        <v>52</v>
      </c>
      <c r="M701" s="282">
        <v>2.1999999999999999E-2</v>
      </c>
      <c r="N701" s="22">
        <f t="shared" si="1257"/>
        <v>3.9203999999999994</v>
      </c>
      <c r="O701" s="268">
        <f t="shared" si="1258"/>
        <v>203.86079999999998</v>
      </c>
      <c r="P701" s="23">
        <f t="shared" si="1259"/>
        <v>1.5440000000000003</v>
      </c>
      <c r="Q701" s="268">
        <f t="shared" si="1260"/>
        <v>275.14080000000001</v>
      </c>
      <c r="R701" s="118"/>
    </row>
    <row r="702" spans="1:18" ht="29" x14ac:dyDescent="0.35">
      <c r="A702" s="67" t="str">
        <f>IF(TRIM(G702)&lt;&gt;"",COUNTA(G$11:$G702)&amp;"","")</f>
        <v>465</v>
      </c>
      <c r="B702" s="311"/>
      <c r="C702" s="311"/>
      <c r="D702" s="30"/>
      <c r="E702" s="52" t="s">
        <v>570</v>
      </c>
      <c r="F702" s="69">
        <v>123</v>
      </c>
      <c r="G702" s="70" t="s">
        <v>163</v>
      </c>
      <c r="H702" s="21">
        <v>0.1</v>
      </c>
      <c r="I702" s="47">
        <f t="shared" ref="I702" si="1276">IF(F702=0,"",F702+(F702*H702))</f>
        <v>135.30000000000001</v>
      </c>
      <c r="J702" s="265">
        <v>0.8</v>
      </c>
      <c r="K702" s="268">
        <f t="shared" ref="K702" si="1277">IF(F702=0,"",J702*I702)</f>
        <v>108.24000000000001</v>
      </c>
      <c r="L702" s="258">
        <f t="shared" ref="L702" si="1278">IF(F702=0,"",L$491)</f>
        <v>52</v>
      </c>
      <c r="M702" s="282">
        <v>2.1999999999999999E-2</v>
      </c>
      <c r="N702" s="22">
        <f t="shared" ref="N702" si="1279">IF(F702=0,"",M702*I702)</f>
        <v>2.9765999999999999</v>
      </c>
      <c r="O702" s="268">
        <f t="shared" ref="O702" si="1280">IF(F702=0,"",N702*L702)</f>
        <v>154.78319999999999</v>
      </c>
      <c r="P702" s="23">
        <f t="shared" ref="P702" si="1281">IF(F702=0,"",(K702+O702)/I702)</f>
        <v>1.9439999999999997</v>
      </c>
      <c r="Q702" s="268">
        <f t="shared" ref="Q702" si="1282">IF(F702=0,"",(P702*I702))</f>
        <v>263.02319999999997</v>
      </c>
      <c r="R702" s="118"/>
    </row>
    <row r="703" spans="1:18" x14ac:dyDescent="0.35">
      <c r="A703" s="67" t="str">
        <f>IF(TRIM(G703)&lt;&gt;"",COUNTA(G$11:$G703)&amp;"","")</f>
        <v/>
      </c>
      <c r="B703" s="311"/>
      <c r="C703" s="311"/>
      <c r="D703" s="30"/>
      <c r="E703" s="240" t="s">
        <v>222</v>
      </c>
      <c r="F703" s="69"/>
      <c r="G703" s="70"/>
      <c r="H703" s="21" t="str">
        <f t="shared" si="1252"/>
        <v/>
      </c>
      <c r="I703" s="47" t="str">
        <f t="shared" si="1253"/>
        <v/>
      </c>
      <c r="J703" s="265" t="str">
        <f t="shared" si="1254"/>
        <v/>
      </c>
      <c r="K703" s="268" t="str">
        <f t="shared" si="1255"/>
        <v/>
      </c>
      <c r="L703" s="258" t="str">
        <f>IF(F703=0,"",L$491)</f>
        <v/>
      </c>
      <c r="M703" s="282" t="str">
        <f t="shared" si="1256"/>
        <v/>
      </c>
      <c r="N703" s="22" t="str">
        <f t="shared" si="1257"/>
        <v/>
      </c>
      <c r="O703" s="268" t="str">
        <f t="shared" si="1258"/>
        <v/>
      </c>
      <c r="P703" s="23" t="str">
        <f t="shared" si="1259"/>
        <v/>
      </c>
      <c r="Q703" s="268" t="str">
        <f t="shared" si="1260"/>
        <v/>
      </c>
      <c r="R703" s="118"/>
    </row>
    <row r="704" spans="1:18" ht="29" x14ac:dyDescent="0.35">
      <c r="A704" s="67" t="str">
        <f>IF(TRIM(G704)&lt;&gt;"",COUNTA(G$11:$G704)&amp;"","")</f>
        <v>466</v>
      </c>
      <c r="B704" s="311"/>
      <c r="C704" s="311"/>
      <c r="D704" s="30"/>
      <c r="E704" s="65" t="s">
        <v>569</v>
      </c>
      <c r="F704" s="69">
        <v>2</v>
      </c>
      <c r="G704" s="70" t="s">
        <v>211</v>
      </c>
      <c r="H704" s="21">
        <v>0</v>
      </c>
      <c r="I704" s="47">
        <f t="shared" ref="I704:I709" si="1283">IF(F704=0,"",F704+(F704*H704))</f>
        <v>2</v>
      </c>
      <c r="J704" s="265">
        <v>28</v>
      </c>
      <c r="K704" s="268">
        <f t="shared" ref="K704:K709" si="1284">IF(F704=0,"",J704*I704)</f>
        <v>56</v>
      </c>
      <c r="L704" s="258">
        <f>IF(F704=0,"",L$491)</f>
        <v>52</v>
      </c>
      <c r="M704" s="282">
        <v>1.23</v>
      </c>
      <c r="N704" s="22">
        <f t="shared" ref="N704:N709" si="1285">IF(F704=0,"",M704*I704)</f>
        <v>2.46</v>
      </c>
      <c r="O704" s="268">
        <f t="shared" ref="O704:O709" si="1286">IF(F704=0,"",N704*L704)</f>
        <v>127.92</v>
      </c>
      <c r="P704" s="23">
        <f t="shared" ref="P704:P709" si="1287">IF(F704=0,"",(K704+O704)/I704)</f>
        <v>91.960000000000008</v>
      </c>
      <c r="Q704" s="268">
        <f t="shared" ref="Q704:Q709" si="1288">IF(F704=0,"",(P704*I704))</f>
        <v>183.92000000000002</v>
      </c>
      <c r="R704" s="118"/>
    </row>
    <row r="705" spans="1:19" x14ac:dyDescent="0.35">
      <c r="A705" s="67" t="str">
        <f>IF(TRIM(G705)&lt;&gt;"",COUNTA(G$11:$G705)&amp;"","")</f>
        <v/>
      </c>
      <c r="B705" s="311"/>
      <c r="C705" s="311"/>
      <c r="D705" s="30"/>
      <c r="E705" s="65"/>
      <c r="F705" s="69"/>
      <c r="G705" s="70"/>
      <c r="H705" s="21"/>
      <c r="I705" s="47"/>
      <c r="J705" s="265"/>
      <c r="K705" s="268"/>
      <c r="L705" s="258"/>
      <c r="M705" s="282"/>
      <c r="N705" s="22"/>
      <c r="O705" s="268"/>
      <c r="P705" s="23"/>
      <c r="Q705" s="268"/>
      <c r="R705" s="118"/>
    </row>
    <row r="706" spans="1:19" x14ac:dyDescent="0.35">
      <c r="A706" s="67" t="str">
        <f>IF(TRIM(G706)&lt;&gt;"",COUNTA(G$11:$G706)&amp;"","")</f>
        <v/>
      </c>
      <c r="B706" s="311"/>
      <c r="C706" s="311"/>
      <c r="D706" s="30"/>
      <c r="E706" s="240" t="s">
        <v>223</v>
      </c>
      <c r="F706" s="69"/>
      <c r="G706" s="70"/>
      <c r="H706" s="21"/>
      <c r="I706" s="47"/>
      <c r="J706" s="265"/>
      <c r="K706" s="268"/>
      <c r="L706" s="258"/>
      <c r="M706" s="282"/>
      <c r="N706" s="22"/>
      <c r="O706" s="268"/>
      <c r="P706" s="23"/>
      <c r="Q706" s="268"/>
      <c r="R706" s="118"/>
    </row>
    <row r="707" spans="1:19" ht="29" x14ac:dyDescent="0.35">
      <c r="A707" s="67" t="str">
        <f>IF(TRIM(G707)&lt;&gt;"",COUNTA(G$11:$G707)&amp;"","")</f>
        <v>467</v>
      </c>
      <c r="B707" s="311"/>
      <c r="C707" s="311"/>
      <c r="D707" s="30"/>
      <c r="E707" s="65" t="s">
        <v>568</v>
      </c>
      <c r="F707" s="69">
        <v>69</v>
      </c>
      <c r="G707" s="70" t="s">
        <v>177</v>
      </c>
      <c r="H707" s="21">
        <v>0.1</v>
      </c>
      <c r="I707" s="47">
        <f t="shared" si="1283"/>
        <v>75.900000000000006</v>
      </c>
      <c r="J707" s="265">
        <v>0.8</v>
      </c>
      <c r="K707" s="268">
        <f t="shared" si="1284"/>
        <v>60.720000000000006</v>
      </c>
      <c r="L707" s="258">
        <f t="shared" ref="L707:L712" si="1289">IF(F707=0,"",L$491)</f>
        <v>52</v>
      </c>
      <c r="M707" s="282">
        <v>1.7999999999999999E-2</v>
      </c>
      <c r="N707" s="22">
        <f t="shared" si="1285"/>
        <v>1.3662000000000001</v>
      </c>
      <c r="O707" s="268">
        <f t="shared" si="1286"/>
        <v>71.042400000000001</v>
      </c>
      <c r="P707" s="23">
        <f t="shared" si="1287"/>
        <v>1.736</v>
      </c>
      <c r="Q707" s="268">
        <f t="shared" si="1288"/>
        <v>131.76240000000001</v>
      </c>
      <c r="R707" s="118"/>
    </row>
    <row r="708" spans="1:19" ht="29" x14ac:dyDescent="0.35">
      <c r="A708" s="67" t="str">
        <f>IF(TRIM(G708)&lt;&gt;"",COUNTA(G$11:$G708)&amp;"","")</f>
        <v>468</v>
      </c>
      <c r="B708" s="311"/>
      <c r="C708" s="311"/>
      <c r="D708" s="30"/>
      <c r="E708" s="65" t="s">
        <v>567</v>
      </c>
      <c r="F708" s="69">
        <v>138</v>
      </c>
      <c r="G708" s="70" t="s">
        <v>177</v>
      </c>
      <c r="H708" s="21">
        <v>0.1</v>
      </c>
      <c r="I708" s="47">
        <f t="shared" si="1283"/>
        <v>151.80000000000001</v>
      </c>
      <c r="J708" s="265">
        <v>0.8</v>
      </c>
      <c r="K708" s="268">
        <f t="shared" si="1284"/>
        <v>121.44000000000001</v>
      </c>
      <c r="L708" s="258">
        <f t="shared" si="1289"/>
        <v>52</v>
      </c>
      <c r="M708" s="282">
        <v>1.7999999999999999E-2</v>
      </c>
      <c r="N708" s="22">
        <f t="shared" si="1285"/>
        <v>2.7324000000000002</v>
      </c>
      <c r="O708" s="268">
        <f t="shared" si="1286"/>
        <v>142.0848</v>
      </c>
      <c r="P708" s="23">
        <f t="shared" si="1287"/>
        <v>1.736</v>
      </c>
      <c r="Q708" s="268">
        <f t="shared" si="1288"/>
        <v>263.52480000000003</v>
      </c>
      <c r="R708" s="118"/>
    </row>
    <row r="709" spans="1:19" x14ac:dyDescent="0.35">
      <c r="A709" s="67" t="str">
        <f>IF(TRIM(G709)&lt;&gt;"",COUNTA(G$11:$G709)&amp;"","")</f>
        <v/>
      </c>
      <c r="B709" s="311"/>
      <c r="C709" s="311"/>
      <c r="D709" s="30"/>
      <c r="E709" s="240" t="s">
        <v>226</v>
      </c>
      <c r="F709" s="69"/>
      <c r="G709" s="70"/>
      <c r="H709" s="21" t="str">
        <f t="shared" ref="H709" si="1290">IF(F709=0,"",0)</f>
        <v/>
      </c>
      <c r="I709" s="47" t="str">
        <f t="shared" si="1283"/>
        <v/>
      </c>
      <c r="J709" s="265" t="str">
        <f t="shared" ref="J709" si="1291">IF(F709=0,"",0)</f>
        <v/>
      </c>
      <c r="K709" s="268" t="str">
        <f t="shared" si="1284"/>
        <v/>
      </c>
      <c r="L709" s="258" t="str">
        <f t="shared" si="1289"/>
        <v/>
      </c>
      <c r="M709" s="282" t="str">
        <f t="shared" ref="M709" si="1292">IF(F709=0,"",0)</f>
        <v/>
      </c>
      <c r="N709" s="22" t="str">
        <f t="shared" si="1285"/>
        <v/>
      </c>
      <c r="O709" s="268" t="str">
        <f t="shared" si="1286"/>
        <v/>
      </c>
      <c r="P709" s="23" t="str">
        <f t="shared" si="1287"/>
        <v/>
      </c>
      <c r="Q709" s="268" t="str">
        <f t="shared" si="1288"/>
        <v/>
      </c>
      <c r="R709" s="118"/>
    </row>
    <row r="710" spans="1:19" ht="29" x14ac:dyDescent="0.35">
      <c r="A710" s="67" t="str">
        <f>IF(TRIM(G710)&lt;&gt;"",COUNTA(G$11:$G710)&amp;"","")</f>
        <v>469</v>
      </c>
      <c r="B710" s="311"/>
      <c r="C710" s="311"/>
      <c r="D710" s="30"/>
      <c r="E710" s="52" t="s">
        <v>565</v>
      </c>
      <c r="F710" s="69">
        <v>18.82</v>
      </c>
      <c r="G710" s="70" t="s">
        <v>177</v>
      </c>
      <c r="H710" s="21">
        <v>0.1</v>
      </c>
      <c r="I710" s="47">
        <f t="shared" si="1253"/>
        <v>20.702000000000002</v>
      </c>
      <c r="J710" s="265">
        <v>4.5</v>
      </c>
      <c r="K710" s="268">
        <f t="shared" si="1255"/>
        <v>93.159000000000006</v>
      </c>
      <c r="L710" s="258">
        <f t="shared" si="1289"/>
        <v>52</v>
      </c>
      <c r="M710" s="282">
        <v>0.3</v>
      </c>
      <c r="N710" s="22">
        <f t="shared" si="1257"/>
        <v>6.2106000000000003</v>
      </c>
      <c r="O710" s="268">
        <f t="shared" si="1258"/>
        <v>322.95120000000003</v>
      </c>
      <c r="P710" s="23">
        <f t="shared" si="1259"/>
        <v>20.099999999999998</v>
      </c>
      <c r="Q710" s="268">
        <f t="shared" si="1260"/>
        <v>416.11019999999996</v>
      </c>
      <c r="R710" s="118"/>
    </row>
    <row r="711" spans="1:19" ht="29" x14ac:dyDescent="0.35">
      <c r="A711" s="67" t="str">
        <f>IF(TRIM(G711)&lt;&gt;"",COUNTA(G$11:$G711)&amp;"","")</f>
        <v>470</v>
      </c>
      <c r="B711" s="312"/>
      <c r="C711" s="312"/>
      <c r="D711" s="30"/>
      <c r="E711" s="52" t="s">
        <v>566</v>
      </c>
      <c r="F711" s="69">
        <v>29.52</v>
      </c>
      <c r="G711" s="70" t="s">
        <v>177</v>
      </c>
      <c r="H711" s="21">
        <v>0.1</v>
      </c>
      <c r="I711" s="47">
        <f t="shared" ref="I711" si="1293">IF(F711=0,"",F711+(F711*H711))</f>
        <v>32.472000000000001</v>
      </c>
      <c r="J711" s="265">
        <v>4.5</v>
      </c>
      <c r="K711" s="268">
        <f t="shared" ref="K711" si="1294">IF(F711=0,"",J711*I711)</f>
        <v>146.124</v>
      </c>
      <c r="L711" s="258">
        <f t="shared" si="1289"/>
        <v>52</v>
      </c>
      <c r="M711" s="282">
        <v>0.3</v>
      </c>
      <c r="N711" s="22">
        <f t="shared" ref="N711" si="1295">IF(F711=0,"",M711*I711)</f>
        <v>9.7416</v>
      </c>
      <c r="O711" s="268">
        <f t="shared" ref="O711" si="1296">IF(F711=0,"",N711*L711)</f>
        <v>506.56319999999999</v>
      </c>
      <c r="P711" s="23">
        <f t="shared" ref="P711" si="1297">IF(F711=0,"",(K711+O711)/I711)</f>
        <v>20.099999999999998</v>
      </c>
      <c r="Q711" s="268">
        <f t="shared" ref="Q711" si="1298">IF(F711=0,"",(P711*I711))</f>
        <v>652.68719999999996</v>
      </c>
      <c r="R711" s="118"/>
    </row>
    <row r="712" spans="1:19" ht="15" thickBot="1" x14ac:dyDescent="0.4">
      <c r="A712" s="67" t="str">
        <f>IF(TRIM(G712)&lt;&gt;"",COUNTA(G$11:$G712)&amp;"","")</f>
        <v/>
      </c>
      <c r="B712" s="68"/>
      <c r="C712" s="68"/>
      <c r="D712" s="31"/>
      <c r="E712" s="65"/>
      <c r="F712" s="69"/>
      <c r="G712" s="70"/>
      <c r="H712" s="21" t="str">
        <f t="shared" ref="H712" si="1299">IF(F712=0,"",0)</f>
        <v/>
      </c>
      <c r="I712" s="47" t="str">
        <f t="shared" si="1253"/>
        <v/>
      </c>
      <c r="J712" s="265" t="str">
        <f t="shared" si="1254"/>
        <v/>
      </c>
      <c r="K712" s="268" t="str">
        <f t="shared" si="1255"/>
        <v/>
      </c>
      <c r="L712" s="258" t="str">
        <f t="shared" si="1289"/>
        <v/>
      </c>
      <c r="M712" s="282" t="str">
        <f t="shared" si="1256"/>
        <v/>
      </c>
      <c r="N712" s="22" t="str">
        <f t="shared" si="1257"/>
        <v/>
      </c>
      <c r="O712" s="268" t="str">
        <f t="shared" si="1258"/>
        <v/>
      </c>
      <c r="P712" s="23" t="str">
        <f t="shared" si="1259"/>
        <v/>
      </c>
      <c r="Q712" s="268" t="str">
        <f t="shared" si="1260"/>
        <v/>
      </c>
      <c r="R712" s="118"/>
    </row>
    <row r="713" spans="1:19" s="2" customFormat="1" ht="16" thickBot="1" x14ac:dyDescent="0.4">
      <c r="A713" s="82" t="str">
        <f>IF(TRIM(G713)&lt;&gt;"",COUNTA(G$11:$G713)&amp;"","")</f>
        <v/>
      </c>
      <c r="B713" s="1"/>
      <c r="C713" s="1"/>
      <c r="D713" s="19"/>
      <c r="E713" s="18"/>
      <c r="F713" s="167"/>
      <c r="G713" s="178"/>
      <c r="H713" s="83" t="s">
        <v>12</v>
      </c>
      <c r="I713" s="84"/>
      <c r="J713" s="85">
        <f>SUM(K$492:K$712)</f>
        <v>24484.034613399996</v>
      </c>
      <c r="K713" s="327" t="s">
        <v>13</v>
      </c>
      <c r="L713" s="328"/>
      <c r="M713" s="284">
        <f>SUM(O$492:O$712)</f>
        <v>27647.747774920004</v>
      </c>
      <c r="N713" s="327" t="s">
        <v>42</v>
      </c>
      <c r="O713" s="328"/>
      <c r="P713" s="87">
        <f>SUM(N$492:N$712)</f>
        <v>531.68745720999993</v>
      </c>
      <c r="Q713" s="274" t="s">
        <v>205</v>
      </c>
      <c r="R713" s="86">
        <f>SUM(Q$492:Q$712)</f>
        <v>52131.782388319996</v>
      </c>
    </row>
    <row r="714" spans="1:19" ht="25" customHeight="1" thickBot="1" x14ac:dyDescent="0.4">
      <c r="A714" s="169" t="str">
        <f>IF(TRIM(G714)&lt;&gt;"",COUNTA(G$11:$G714)&amp;"","")</f>
        <v/>
      </c>
      <c r="B714" s="170"/>
      <c r="C714" s="171" t="s">
        <v>144</v>
      </c>
      <c r="D714" s="180" t="s">
        <v>60</v>
      </c>
      <c r="E714" s="180" t="s">
        <v>61</v>
      </c>
      <c r="F714" s="181"/>
      <c r="G714" s="172"/>
      <c r="H714" s="170"/>
      <c r="I714" s="172"/>
      <c r="J714" s="263"/>
      <c r="K714" s="263"/>
      <c r="L714" s="257">
        <v>54</v>
      </c>
      <c r="M714" s="280"/>
      <c r="N714" s="170"/>
      <c r="O714" s="263"/>
      <c r="P714" s="170"/>
      <c r="Q714" s="263"/>
      <c r="R714" s="173"/>
    </row>
    <row r="715" spans="1:19" s="17" customFormat="1" ht="19.25" customHeight="1" x14ac:dyDescent="0.35">
      <c r="A715" s="67" t="str">
        <f>IF(TRIM(G715)&lt;&gt;"",COUNTA(G$11:$G715)&amp;"","")</f>
        <v/>
      </c>
      <c r="B715" s="29"/>
      <c r="C715" s="29"/>
      <c r="D715" s="193" t="s">
        <v>109</v>
      </c>
      <c r="E715" s="191" t="s">
        <v>108</v>
      </c>
      <c r="F715" s="69"/>
      <c r="G715" s="70"/>
      <c r="H715" s="21" t="str">
        <f t="shared" ref="H715:H716" si="1300">IF(F715=0,"",0)</f>
        <v/>
      </c>
      <c r="I715" s="47" t="str">
        <f t="shared" ref="I715:I716" si="1301">IF(F715=0,"",F715+(F715*H715))</f>
        <v/>
      </c>
      <c r="J715" s="265" t="str">
        <f t="shared" ref="J715" si="1302">IF(F715=0,"",0)</f>
        <v/>
      </c>
      <c r="K715" s="268" t="str">
        <f t="shared" ref="K715:K716" si="1303">IF(F715=0,"",J715*I715)</f>
        <v/>
      </c>
      <c r="L715" s="258" t="str">
        <f>IF(F715=0,"",L$714)</f>
        <v/>
      </c>
      <c r="M715" s="282" t="str">
        <f t="shared" ref="M715" si="1304">IF(F715=0,"",0)</f>
        <v/>
      </c>
      <c r="N715" s="22" t="str">
        <f t="shared" ref="N715:N716" si="1305">IF(F715=0,"",M715*I715)</f>
        <v/>
      </c>
      <c r="O715" s="268" t="str">
        <f t="shared" ref="O715:O716" si="1306">IF(F715=0,"",N715*L715)</f>
        <v/>
      </c>
      <c r="P715" s="23" t="str">
        <f t="shared" ref="P715:P716" si="1307">IF(F715=0,"",(K715+O715)/I715)</f>
        <v/>
      </c>
      <c r="Q715" s="268" t="str">
        <f t="shared" ref="Q715:Q716" si="1308">IF(F715=0,"",(P715*I715))</f>
        <v/>
      </c>
      <c r="R715" s="118"/>
      <c r="S715" s="48"/>
    </row>
    <row r="716" spans="1:19" x14ac:dyDescent="0.35">
      <c r="A716" s="67" t="str">
        <f>IF(TRIM(G716)&lt;&gt;"",COUNTA(G$11:$G716)&amp;"","")</f>
        <v>471</v>
      </c>
      <c r="B716" s="68"/>
      <c r="C716" s="68"/>
      <c r="D716" s="30"/>
      <c r="E716" s="52" t="s">
        <v>598</v>
      </c>
      <c r="F716" s="69">
        <v>1</v>
      </c>
      <c r="G716" s="70" t="s">
        <v>211</v>
      </c>
      <c r="H716" s="21">
        <f t="shared" si="1300"/>
        <v>0</v>
      </c>
      <c r="I716" s="47">
        <f t="shared" si="1301"/>
        <v>1</v>
      </c>
      <c r="J716" s="265">
        <v>675</v>
      </c>
      <c r="K716" s="268">
        <f t="shared" si="1303"/>
        <v>675</v>
      </c>
      <c r="L716" s="258">
        <f>IF(F716=0,"",L$714)</f>
        <v>54</v>
      </c>
      <c r="M716" s="282">
        <v>3.45</v>
      </c>
      <c r="N716" s="22">
        <f t="shared" si="1305"/>
        <v>3.45</v>
      </c>
      <c r="O716" s="268">
        <f t="shared" si="1306"/>
        <v>186.3</v>
      </c>
      <c r="P716" s="23">
        <f t="shared" si="1307"/>
        <v>861.3</v>
      </c>
      <c r="Q716" s="268">
        <f t="shared" si="1308"/>
        <v>861.3</v>
      </c>
      <c r="R716" s="118"/>
    </row>
    <row r="717" spans="1:19" ht="15" thickBot="1" x14ac:dyDescent="0.4">
      <c r="A717" s="67" t="str">
        <f>IF(TRIM(G717)&lt;&gt;"",COUNTA(G$11:$G717)&amp;"","")</f>
        <v/>
      </c>
      <c r="B717" s="71"/>
      <c r="C717" s="71"/>
      <c r="D717" s="30"/>
      <c r="E717" s="72"/>
      <c r="F717" s="69"/>
      <c r="G717" s="70"/>
      <c r="H717" s="21" t="str">
        <f t="shared" ref="H717" si="1309">IF(F717=0,"",0)</f>
        <v/>
      </c>
      <c r="I717" s="47" t="str">
        <f t="shared" ref="I717" si="1310">IF(F717=0,"",F717+(F717*H717))</f>
        <v/>
      </c>
      <c r="J717" s="265" t="str">
        <f t="shared" ref="J717" si="1311">IF(F717=0,"",0)</f>
        <v/>
      </c>
      <c r="K717" s="268" t="str">
        <f t="shared" ref="K717" si="1312">IF(F717=0,"",J717*I717)</f>
        <v/>
      </c>
      <c r="L717" s="258" t="str">
        <f>IF(F717=0,"",L$714)</f>
        <v/>
      </c>
      <c r="M717" s="282" t="str">
        <f t="shared" ref="M717" si="1313">IF(F717=0,"",0)</f>
        <v/>
      </c>
      <c r="N717" s="22" t="str">
        <f t="shared" ref="N717" si="1314">IF(F717=0,"",M717*I717)</f>
        <v/>
      </c>
      <c r="O717" s="268" t="str">
        <f t="shared" ref="O717" si="1315">IF(F717=0,"",N717*L717)</f>
        <v/>
      </c>
      <c r="P717" s="23" t="str">
        <f t="shared" ref="P717" si="1316">IF(F717=0,"",(K717+O717)/I717)</f>
        <v/>
      </c>
      <c r="Q717" s="268" t="str">
        <f t="shared" ref="Q717" si="1317">IF(F717=0,"",(P717*I717))</f>
        <v/>
      </c>
      <c r="R717" s="118"/>
    </row>
    <row r="718" spans="1:19" s="2" customFormat="1" ht="16" thickBot="1" x14ac:dyDescent="0.4">
      <c r="A718" s="82" t="str">
        <f>IF(TRIM(G718)&lt;&gt;"",COUNTA(G$11:$G718)&amp;"","")</f>
        <v/>
      </c>
      <c r="B718" s="32"/>
      <c r="C718" s="32"/>
      <c r="D718" s="33"/>
      <c r="E718" s="18"/>
      <c r="F718" s="88"/>
      <c r="G718" s="89"/>
      <c r="H718" s="83" t="s">
        <v>12</v>
      </c>
      <c r="I718" s="84"/>
      <c r="J718" s="85">
        <f>SUM(K$715:K$717)</f>
        <v>675</v>
      </c>
      <c r="K718" s="327" t="s">
        <v>13</v>
      </c>
      <c r="L718" s="328"/>
      <c r="M718" s="284">
        <f>SUM(O$715:O$717)</f>
        <v>186.3</v>
      </c>
      <c r="N718" s="327" t="s">
        <v>42</v>
      </c>
      <c r="O718" s="328"/>
      <c r="P718" s="87">
        <f>SUM(N$715:N$717)</f>
        <v>3.45</v>
      </c>
      <c r="Q718" s="274" t="s">
        <v>205</v>
      </c>
      <c r="R718" s="86">
        <f>SUM(Q$715:Q$717)</f>
        <v>861.3</v>
      </c>
    </row>
    <row r="719" spans="1:19" ht="25" customHeight="1" thickBot="1" x14ac:dyDescent="0.4">
      <c r="A719" s="169" t="str">
        <f>IF(TRIM(G719)&lt;&gt;"",COUNTA(G$11:$G719)&amp;"","")</f>
        <v/>
      </c>
      <c r="B719" s="170"/>
      <c r="C719" s="171" t="s">
        <v>144</v>
      </c>
      <c r="D719" s="180" t="s">
        <v>62</v>
      </c>
      <c r="E719" s="180" t="s">
        <v>63</v>
      </c>
      <c r="F719" s="181"/>
      <c r="G719" s="172"/>
      <c r="H719" s="170"/>
      <c r="I719" s="172"/>
      <c r="J719" s="263"/>
      <c r="K719" s="263"/>
      <c r="L719" s="257">
        <v>54</v>
      </c>
      <c r="M719" s="280"/>
      <c r="N719" s="170"/>
      <c r="O719" s="263"/>
      <c r="P719" s="170"/>
      <c r="Q719" s="263"/>
      <c r="R719" s="173"/>
    </row>
    <row r="720" spans="1:19" s="17" customFormat="1" ht="19.25" customHeight="1" x14ac:dyDescent="0.35">
      <c r="A720" s="67" t="str">
        <f>IF(TRIM(G720)&lt;&gt;"",COUNTA(G$11:$G720)&amp;"","")</f>
        <v/>
      </c>
      <c r="B720" s="29"/>
      <c r="C720" s="29"/>
      <c r="D720" s="193" t="s">
        <v>111</v>
      </c>
      <c r="E720" s="191" t="s">
        <v>110</v>
      </c>
      <c r="F720" s="69"/>
      <c r="G720" s="70"/>
      <c r="H720" s="21" t="str">
        <f t="shared" ref="H720" si="1318">IF(F720=0,"",0)</f>
        <v/>
      </c>
      <c r="I720" s="47" t="str">
        <f t="shared" ref="I720" si="1319">IF(F720=0,"",F720+(F720*H720))</f>
        <v/>
      </c>
      <c r="J720" s="265" t="str">
        <f t="shared" ref="J720" si="1320">IF(F720=0,"",0)</f>
        <v/>
      </c>
      <c r="K720" s="268" t="str">
        <f t="shared" ref="K720" si="1321">IF(F720=0,"",J720*I720)</f>
        <v/>
      </c>
      <c r="L720" s="258" t="str">
        <f>IF(F720=0,"",L$719)</f>
        <v/>
      </c>
      <c r="M720" s="282" t="str">
        <f t="shared" ref="M720" si="1322">IF(F720=0,"",0)</f>
        <v/>
      </c>
      <c r="N720" s="22" t="str">
        <f t="shared" ref="N720" si="1323">IF(F720=0,"",M720*I720)</f>
        <v/>
      </c>
      <c r="O720" s="268" t="str">
        <f t="shared" ref="O720" si="1324">IF(F720=0,"",N720*L720)</f>
        <v/>
      </c>
      <c r="P720" s="23" t="str">
        <f t="shared" ref="P720:P721" si="1325">IF(F720=0,"",(K720+O720)/I720)</f>
        <v/>
      </c>
      <c r="Q720" s="268" t="str">
        <f t="shared" ref="Q720:Q721" si="1326">IF(F720=0,"",(P720*I720))</f>
        <v/>
      </c>
      <c r="R720" s="120"/>
    </row>
    <row r="721" spans="1:18" x14ac:dyDescent="0.35">
      <c r="A721" s="67" t="str">
        <f>IF(TRIM(G721)&lt;&gt;"",COUNTA(G$11:$G721)&amp;"","")</f>
        <v>472</v>
      </c>
      <c r="B721" s="68" t="s">
        <v>632</v>
      </c>
      <c r="C721" s="68" t="s">
        <v>632</v>
      </c>
      <c r="D721" s="30"/>
      <c r="E721" s="52" t="s">
        <v>392</v>
      </c>
      <c r="F721" s="69">
        <v>1</v>
      </c>
      <c r="G721" s="70" t="s">
        <v>211</v>
      </c>
      <c r="H721" s="21">
        <f t="shared" ref="H721:H722" si="1327">IF(F721=0,"",0)</f>
        <v>0</v>
      </c>
      <c r="I721" s="47">
        <f t="shared" ref="I721:I722" si="1328">IF(F721=0,"",F721+(F721*H721))</f>
        <v>1</v>
      </c>
      <c r="J721" s="265">
        <v>1452</v>
      </c>
      <c r="K721" s="268">
        <f t="shared" ref="K721:K722" si="1329">IF(F721=0,"",J721*I721)</f>
        <v>1452</v>
      </c>
      <c r="L721" s="258">
        <f>IF(F721=0,"",L$719)</f>
        <v>54</v>
      </c>
      <c r="M721" s="282">
        <v>4.2300000000000004</v>
      </c>
      <c r="N721" s="22">
        <f t="shared" ref="N721:N722" si="1330">IF(F721=0,"",M721*I721)</f>
        <v>4.2300000000000004</v>
      </c>
      <c r="O721" s="268">
        <f t="shared" ref="O721:O722" si="1331">IF(F721=0,"",N721*L721)</f>
        <v>228.42000000000002</v>
      </c>
      <c r="P721" s="23">
        <f t="shared" si="1325"/>
        <v>1680.42</v>
      </c>
      <c r="Q721" s="268">
        <f t="shared" si="1326"/>
        <v>1680.42</v>
      </c>
      <c r="R721" s="118"/>
    </row>
    <row r="722" spans="1:18" ht="15" thickBot="1" x14ac:dyDescent="0.4">
      <c r="A722" s="67" t="str">
        <f>IF(TRIM(G722)&lt;&gt;"",COUNTA(G$11:$G722)&amp;"","")</f>
        <v/>
      </c>
      <c r="B722" s="68"/>
      <c r="C722" s="68"/>
      <c r="D722" s="30"/>
      <c r="E722" s="52"/>
      <c r="F722" s="69"/>
      <c r="G722" s="70"/>
      <c r="H722" s="21" t="str">
        <f t="shared" si="1327"/>
        <v/>
      </c>
      <c r="I722" s="47" t="str">
        <f t="shared" si="1328"/>
        <v/>
      </c>
      <c r="J722" s="265" t="str">
        <f t="shared" ref="J722" si="1332">IF(F722=0,"",0)</f>
        <v/>
      </c>
      <c r="K722" s="268" t="str">
        <f t="shared" si="1329"/>
        <v/>
      </c>
      <c r="L722" s="258" t="str">
        <f>IF(F722=0,"",L$719)</f>
        <v/>
      </c>
      <c r="M722" s="282" t="str">
        <f t="shared" ref="M722" si="1333">IF(F722=0,"",0)</f>
        <v/>
      </c>
      <c r="N722" s="22" t="str">
        <f t="shared" si="1330"/>
        <v/>
      </c>
      <c r="O722" s="268" t="str">
        <f t="shared" si="1331"/>
        <v/>
      </c>
      <c r="P722" s="23" t="str">
        <f t="shared" ref="P722" si="1334">IF(F722=0,"",(K722+O722)/I722)</f>
        <v/>
      </c>
      <c r="Q722" s="268" t="str">
        <f t="shared" ref="Q722" si="1335">IF(F722=0,"",(P722*I722))</f>
        <v/>
      </c>
      <c r="R722" s="118"/>
    </row>
    <row r="723" spans="1:18" s="2" customFormat="1" ht="16" thickBot="1" x14ac:dyDescent="0.4">
      <c r="A723" s="82" t="str">
        <f>IF(TRIM(G723)&lt;&gt;"",COUNTA(G$11:$G723)&amp;"","")</f>
        <v/>
      </c>
      <c r="B723" s="32"/>
      <c r="C723" s="32"/>
      <c r="D723" s="33"/>
      <c r="E723" s="18"/>
      <c r="F723" s="88"/>
      <c r="G723" s="89"/>
      <c r="H723" s="83" t="s">
        <v>12</v>
      </c>
      <c r="I723" s="84"/>
      <c r="J723" s="85">
        <f>SUM(K$720:K$722)</f>
        <v>1452</v>
      </c>
      <c r="K723" s="327" t="s">
        <v>13</v>
      </c>
      <c r="L723" s="328"/>
      <c r="M723" s="284">
        <f>SUM(O$720:O$722)</f>
        <v>228.42000000000002</v>
      </c>
      <c r="N723" s="327" t="s">
        <v>42</v>
      </c>
      <c r="O723" s="328"/>
      <c r="P723" s="87">
        <f>SUM(N$720:N$722)</f>
        <v>4.2300000000000004</v>
      </c>
      <c r="Q723" s="274" t="s">
        <v>205</v>
      </c>
      <c r="R723" s="86">
        <f>SUM(Q$720:Q$722)</f>
        <v>1680.42</v>
      </c>
    </row>
    <row r="724" spans="1:18" ht="25" customHeight="1" thickBot="1" x14ac:dyDescent="0.4">
      <c r="A724" s="169" t="str">
        <f>IF(TRIM(G724)&lt;&gt;"",COUNTA(G$11:$G724)&amp;"","")</f>
        <v/>
      </c>
      <c r="B724" s="170"/>
      <c r="C724" s="171" t="s">
        <v>144</v>
      </c>
      <c r="D724" s="180" t="s">
        <v>64</v>
      </c>
      <c r="E724" s="180" t="s">
        <v>65</v>
      </c>
      <c r="F724" s="181"/>
      <c r="G724" s="172"/>
      <c r="H724" s="170"/>
      <c r="I724" s="172"/>
      <c r="J724" s="263"/>
      <c r="K724" s="263"/>
      <c r="L724" s="257">
        <v>54</v>
      </c>
      <c r="M724" s="280"/>
      <c r="N724" s="170"/>
      <c r="O724" s="263"/>
      <c r="P724" s="170"/>
      <c r="Q724" s="263"/>
      <c r="R724" s="173"/>
    </row>
    <row r="725" spans="1:18" s="17" customFormat="1" ht="19.25" customHeight="1" x14ac:dyDescent="0.35">
      <c r="A725" s="67" t="str">
        <f>IF(TRIM(G725)&lt;&gt;"",COUNTA(G$11:$G725)&amp;"","")</f>
        <v/>
      </c>
      <c r="B725" s="29"/>
      <c r="C725" s="29"/>
      <c r="D725" s="193" t="s">
        <v>113</v>
      </c>
      <c r="E725" s="191" t="s">
        <v>112</v>
      </c>
      <c r="F725" s="69"/>
      <c r="G725" s="70"/>
      <c r="H725" s="21" t="str">
        <f t="shared" ref="H725:H738" si="1336">IF(F725=0,"",0)</f>
        <v/>
      </c>
      <c r="I725" s="47" t="str">
        <f t="shared" ref="I725:I738" si="1337">IF(F725=0,"",F725+(F725*H725))</f>
        <v/>
      </c>
      <c r="J725" s="265" t="str">
        <f t="shared" ref="J725:J738" si="1338">IF(F725=0,"",0)</f>
        <v/>
      </c>
      <c r="K725" s="268" t="str">
        <f t="shared" ref="K725:K738" si="1339">IF(F725=0,"",J725*I725)</f>
        <v/>
      </c>
      <c r="L725" s="258" t="str">
        <f>IF(F725=0,"",L$724)</f>
        <v/>
      </c>
      <c r="M725" s="282" t="str">
        <f t="shared" ref="M725:M738" si="1340">IF(F725=0,"",0)</f>
        <v/>
      </c>
      <c r="N725" s="22" t="str">
        <f t="shared" ref="N725:N738" si="1341">IF(F725=0,"",M725*I725)</f>
        <v/>
      </c>
      <c r="O725" s="268" t="str">
        <f t="shared" ref="O725:O738" si="1342">IF(F725=0,"",N725*L725)</f>
        <v/>
      </c>
      <c r="P725" s="23" t="str">
        <f t="shared" ref="P725:P738" si="1343">IF(F725=0,"",(K725+O725)/I725)</f>
        <v/>
      </c>
      <c r="Q725" s="268" t="str">
        <f t="shared" ref="Q725:Q738" si="1344">IF(F725=0,"",(P725*I725))</f>
        <v/>
      </c>
      <c r="R725" s="120"/>
    </row>
    <row r="726" spans="1:18" x14ac:dyDescent="0.35">
      <c r="A726" s="67" t="str">
        <f>IF(TRIM(G726)&lt;&gt;"",COUNTA(G$11:$G726)&amp;"","")</f>
        <v>473</v>
      </c>
      <c r="B726" s="310" t="s">
        <v>632</v>
      </c>
      <c r="C726" s="310" t="s">
        <v>632</v>
      </c>
      <c r="D726" s="30"/>
      <c r="E726" s="52" t="s">
        <v>388</v>
      </c>
      <c r="F726" s="69">
        <v>10.96</v>
      </c>
      <c r="G726" s="70" t="s">
        <v>163</v>
      </c>
      <c r="H726" s="21">
        <v>0.1</v>
      </c>
      <c r="I726" s="47">
        <f t="shared" si="1337"/>
        <v>12.056000000000001</v>
      </c>
      <c r="J726" s="265">
        <v>71.099999999999994</v>
      </c>
      <c r="K726" s="268">
        <f t="shared" si="1339"/>
        <v>857.1816</v>
      </c>
      <c r="L726" s="258">
        <f>IF(F726=0,"",L$724)</f>
        <v>54</v>
      </c>
      <c r="M726" s="282">
        <v>0.29299999999999998</v>
      </c>
      <c r="N726" s="22">
        <f t="shared" si="1341"/>
        <v>3.5324080000000002</v>
      </c>
      <c r="O726" s="268">
        <f t="shared" si="1342"/>
        <v>190.750032</v>
      </c>
      <c r="P726" s="23">
        <f t="shared" si="1343"/>
        <v>86.921999999999997</v>
      </c>
      <c r="Q726" s="268">
        <f t="shared" si="1344"/>
        <v>1047.931632</v>
      </c>
      <c r="R726" s="118"/>
    </row>
    <row r="727" spans="1:18" x14ac:dyDescent="0.35">
      <c r="A727" s="67" t="str">
        <f>IF(TRIM(G727)&lt;&gt;"",COUNTA(G$11:$G727)&amp;"","")</f>
        <v>474</v>
      </c>
      <c r="B727" s="311"/>
      <c r="C727" s="311"/>
      <c r="D727" s="30"/>
      <c r="E727" s="52" t="s">
        <v>389</v>
      </c>
      <c r="F727" s="69">
        <v>21.83</v>
      </c>
      <c r="G727" s="70" t="s">
        <v>163</v>
      </c>
      <c r="H727" s="21">
        <v>0.1</v>
      </c>
      <c r="I727" s="47">
        <f t="shared" si="1337"/>
        <v>24.012999999999998</v>
      </c>
      <c r="J727" s="265">
        <v>71.099999999999994</v>
      </c>
      <c r="K727" s="268">
        <f t="shared" si="1339"/>
        <v>1707.3242999999998</v>
      </c>
      <c r="L727" s="258">
        <f>IF(F727=0,"",L$724)</f>
        <v>54</v>
      </c>
      <c r="M727" s="282">
        <v>0.29299999999999998</v>
      </c>
      <c r="N727" s="22">
        <f t="shared" si="1341"/>
        <v>7.0358089999999986</v>
      </c>
      <c r="O727" s="268">
        <f t="shared" si="1342"/>
        <v>379.93368599999991</v>
      </c>
      <c r="P727" s="23">
        <f t="shared" si="1343"/>
        <v>86.921999999999997</v>
      </c>
      <c r="Q727" s="268">
        <f t="shared" si="1344"/>
        <v>2087.2579859999996</v>
      </c>
      <c r="R727" s="118"/>
    </row>
    <row r="728" spans="1:18" x14ac:dyDescent="0.35">
      <c r="A728" s="67" t="str">
        <f>IF(TRIM(G728)&lt;&gt;"",COUNTA(G$11:$G728)&amp;"","")</f>
        <v/>
      </c>
      <c r="B728" s="311"/>
      <c r="C728" s="311"/>
      <c r="D728" s="30"/>
      <c r="E728" s="52"/>
      <c r="F728" s="69"/>
      <c r="G728" s="70"/>
      <c r="H728" s="21" t="str">
        <f t="shared" si="1336"/>
        <v/>
      </c>
      <c r="I728" s="47" t="str">
        <f t="shared" si="1337"/>
        <v/>
      </c>
      <c r="J728" s="265" t="str">
        <f t="shared" si="1338"/>
        <v/>
      </c>
      <c r="K728" s="268" t="str">
        <f t="shared" si="1339"/>
        <v/>
      </c>
      <c r="L728" s="258" t="str">
        <f>IF(F728=0,"",L$724)</f>
        <v/>
      </c>
      <c r="M728" s="282" t="str">
        <f t="shared" si="1340"/>
        <v/>
      </c>
      <c r="N728" s="22" t="str">
        <f t="shared" si="1341"/>
        <v/>
      </c>
      <c r="O728" s="268" t="str">
        <f t="shared" si="1342"/>
        <v/>
      </c>
      <c r="P728" s="23" t="str">
        <f t="shared" si="1343"/>
        <v/>
      </c>
      <c r="Q728" s="268" t="str">
        <f t="shared" si="1344"/>
        <v/>
      </c>
      <c r="R728" s="118"/>
    </row>
    <row r="729" spans="1:18" x14ac:dyDescent="0.35">
      <c r="A729" s="67" t="str">
        <f>IF(TRIM(G729)&lt;&gt;"",COUNTA(G$11:$G729)&amp;"","")</f>
        <v/>
      </c>
      <c r="B729" s="311"/>
      <c r="C729" s="311"/>
      <c r="D729" s="30"/>
      <c r="E729" s="244" t="s">
        <v>390</v>
      </c>
      <c r="F729" s="69"/>
      <c r="G729" s="70"/>
      <c r="H729" s="21"/>
      <c r="I729" s="47"/>
      <c r="J729" s="265"/>
      <c r="K729" s="268"/>
      <c r="L729" s="258"/>
      <c r="M729" s="282"/>
      <c r="N729" s="22"/>
      <c r="O729" s="268"/>
      <c r="P729" s="23"/>
      <c r="Q729" s="268"/>
      <c r="R729" s="118"/>
    </row>
    <row r="730" spans="1:18" x14ac:dyDescent="0.35">
      <c r="A730" s="67" t="str">
        <f>IF(TRIM(G730)&lt;&gt;"",COUNTA(G$11:$G730)&amp;"","")</f>
        <v>475</v>
      </c>
      <c r="B730" s="311"/>
      <c r="C730" s="311"/>
      <c r="D730" s="30"/>
      <c r="E730" s="52" t="s">
        <v>391</v>
      </c>
      <c r="F730" s="69">
        <v>9.6300000000000008</v>
      </c>
      <c r="G730" s="70" t="s">
        <v>177</v>
      </c>
      <c r="H730" s="21">
        <v>0.1</v>
      </c>
      <c r="I730" s="47">
        <f t="shared" ref="I730" si="1345">IF(F730=0,"",F730+(F730*H730))</f>
        <v>10.593</v>
      </c>
      <c r="J730" s="265">
        <v>8.5</v>
      </c>
      <c r="K730" s="268">
        <f t="shared" ref="K730" si="1346">IF(F730=0,"",J730*I730)</f>
        <v>90.040499999999994</v>
      </c>
      <c r="L730" s="258">
        <f t="shared" ref="L730" si="1347">IF(F730=0,"",L$724)</f>
        <v>54</v>
      </c>
      <c r="M730" s="282">
        <v>0.109</v>
      </c>
      <c r="N730" s="22">
        <f t="shared" ref="N730" si="1348">IF(F730=0,"",M730*I730)</f>
        <v>1.1546369999999999</v>
      </c>
      <c r="O730" s="268">
        <f t="shared" ref="O730" si="1349">IF(F730=0,"",N730*L730)</f>
        <v>62.350397999999998</v>
      </c>
      <c r="P730" s="23">
        <f t="shared" ref="P730" si="1350">IF(F730=0,"",(K730+O730)/I730)</f>
        <v>14.385999999999999</v>
      </c>
      <c r="Q730" s="268">
        <f t="shared" ref="Q730" si="1351">IF(F730=0,"",(P730*I730))</f>
        <v>152.39089799999999</v>
      </c>
      <c r="R730" s="118"/>
    </row>
    <row r="731" spans="1:18" x14ac:dyDescent="0.35">
      <c r="A731" s="67" t="str">
        <f>IF(TRIM(G731)&lt;&gt;"",COUNTA(G$11:$G731)&amp;"","")</f>
        <v/>
      </c>
      <c r="B731" s="311"/>
      <c r="C731" s="311"/>
      <c r="D731" s="30"/>
      <c r="E731" s="242"/>
      <c r="F731" s="69"/>
      <c r="G731" s="70"/>
      <c r="H731" s="21"/>
      <c r="I731" s="47"/>
      <c r="J731" s="265"/>
      <c r="K731" s="268"/>
      <c r="L731" s="258"/>
      <c r="M731" s="282"/>
      <c r="N731" s="22"/>
      <c r="O731" s="268"/>
      <c r="P731" s="23"/>
      <c r="Q731" s="268"/>
      <c r="R731" s="250"/>
    </row>
    <row r="732" spans="1:18" s="17" customFormat="1" ht="19.25" customHeight="1" x14ac:dyDescent="0.35">
      <c r="A732" s="67" t="str">
        <f>IF(TRIM(G732)&lt;&gt;"",COUNTA(G$11:$G732)&amp;"","")</f>
        <v/>
      </c>
      <c r="B732" s="311"/>
      <c r="C732" s="311"/>
      <c r="D732" s="193" t="s">
        <v>393</v>
      </c>
      <c r="E732" s="191" t="s">
        <v>394</v>
      </c>
      <c r="F732" s="69"/>
      <c r="G732" s="70"/>
      <c r="H732" s="21" t="str">
        <f t="shared" ref="H732" si="1352">IF(F732=0,"",0)</f>
        <v/>
      </c>
      <c r="I732" s="47" t="str">
        <f t="shared" ref="I732:I734" si="1353">IF(F732=0,"",F732+(F732*H732))</f>
        <v/>
      </c>
      <c r="J732" s="265" t="str">
        <f t="shared" ref="J732" si="1354">IF(F732=0,"",0)</f>
        <v/>
      </c>
      <c r="K732" s="268" t="str">
        <f t="shared" ref="K732:K734" si="1355">IF(F732=0,"",J732*I732)</f>
        <v/>
      </c>
      <c r="L732" s="258" t="str">
        <f t="shared" ref="L732" si="1356">IF(F732=0,"",L$737)</f>
        <v/>
      </c>
      <c r="M732" s="282" t="str">
        <f t="shared" ref="M732" si="1357">IF(F732=0,"",0)</f>
        <v/>
      </c>
      <c r="N732" s="22" t="str">
        <f t="shared" ref="N732:N734" si="1358">IF(F732=0,"",M732*I732)</f>
        <v/>
      </c>
      <c r="O732" s="268" t="str">
        <f t="shared" ref="O732:O734" si="1359">IF(F732=0,"",N732*L732)</f>
        <v/>
      </c>
      <c r="P732" s="23" t="str">
        <f t="shared" ref="P732:P734" si="1360">IF(F732=0,"",(K732+O732)/I732)</f>
        <v/>
      </c>
      <c r="Q732" s="268" t="str">
        <f t="shared" ref="Q732:Q734" si="1361">IF(F732=0,"",(P732*I732))</f>
        <v/>
      </c>
      <c r="R732" s="120"/>
    </row>
    <row r="733" spans="1:18" x14ac:dyDescent="0.35">
      <c r="A733" s="67" t="str">
        <f>IF(TRIM(G733)&lt;&gt;"",COUNTA(G$11:$G733)&amp;"","")</f>
        <v>476</v>
      </c>
      <c r="B733" s="311"/>
      <c r="C733" s="311"/>
      <c r="D733" s="30"/>
      <c r="E733" s="242" t="s">
        <v>395</v>
      </c>
      <c r="F733" s="69">
        <v>1</v>
      </c>
      <c r="G733" s="70" t="s">
        <v>211</v>
      </c>
      <c r="H733" s="21">
        <v>0.1</v>
      </c>
      <c r="I733" s="47">
        <f t="shared" si="1353"/>
        <v>1.1000000000000001</v>
      </c>
      <c r="J733" s="265">
        <v>425</v>
      </c>
      <c r="K733" s="268">
        <f t="shared" si="1355"/>
        <v>467.50000000000006</v>
      </c>
      <c r="L733" s="258">
        <f t="shared" ref="L733:L734" si="1362">IF(F733=0,"",L$724)</f>
        <v>54</v>
      </c>
      <c r="M733" s="282">
        <v>3.4</v>
      </c>
      <c r="N733" s="22">
        <f t="shared" si="1358"/>
        <v>3.74</v>
      </c>
      <c r="O733" s="268">
        <f t="shared" si="1359"/>
        <v>201.96</v>
      </c>
      <c r="P733" s="23">
        <f t="shared" si="1360"/>
        <v>608.6</v>
      </c>
      <c r="Q733" s="268">
        <f t="shared" si="1361"/>
        <v>669.46</v>
      </c>
      <c r="R733" s="120"/>
    </row>
    <row r="734" spans="1:18" x14ac:dyDescent="0.35">
      <c r="A734" s="67" t="str">
        <f>IF(TRIM(G734)&lt;&gt;"",COUNTA(G$11:$G734)&amp;"","")</f>
        <v>477</v>
      </c>
      <c r="B734" s="311"/>
      <c r="C734" s="311"/>
      <c r="D734" s="30"/>
      <c r="E734" s="242" t="s">
        <v>396</v>
      </c>
      <c r="F734" s="69">
        <v>1</v>
      </c>
      <c r="G734" s="70" t="s">
        <v>211</v>
      </c>
      <c r="H734" s="21">
        <v>0.1</v>
      </c>
      <c r="I734" s="47">
        <f t="shared" si="1353"/>
        <v>1.1000000000000001</v>
      </c>
      <c r="J734" s="265">
        <v>175</v>
      </c>
      <c r="K734" s="268">
        <f t="shared" si="1355"/>
        <v>192.50000000000003</v>
      </c>
      <c r="L734" s="258">
        <f t="shared" si="1362"/>
        <v>54</v>
      </c>
      <c r="M734" s="282">
        <v>1.1200000000000001</v>
      </c>
      <c r="N734" s="22">
        <f t="shared" si="1358"/>
        <v>1.2320000000000002</v>
      </c>
      <c r="O734" s="268">
        <f t="shared" si="1359"/>
        <v>66.528000000000006</v>
      </c>
      <c r="P734" s="23">
        <f t="shared" si="1360"/>
        <v>235.48</v>
      </c>
      <c r="Q734" s="268">
        <f t="shared" si="1361"/>
        <v>259.02800000000002</v>
      </c>
      <c r="R734" s="120"/>
    </row>
    <row r="735" spans="1:18" x14ac:dyDescent="0.35">
      <c r="A735" s="67" t="str">
        <f>IF(TRIM(G735)&lt;&gt;"",COUNTA(G$11:$G735)&amp;"","")</f>
        <v/>
      </c>
      <c r="B735" s="311"/>
      <c r="C735" s="311"/>
      <c r="D735" s="30"/>
      <c r="E735" s="242"/>
      <c r="F735" s="69"/>
      <c r="G735" s="70"/>
      <c r="H735" s="21"/>
      <c r="I735" s="47"/>
      <c r="J735" s="265"/>
      <c r="K735" s="268"/>
      <c r="L735" s="258"/>
      <c r="M735" s="282"/>
      <c r="N735" s="22"/>
      <c r="O735" s="268"/>
      <c r="P735" s="23"/>
      <c r="Q735" s="268"/>
      <c r="R735" s="120"/>
    </row>
    <row r="736" spans="1:18" x14ac:dyDescent="0.35">
      <c r="A736" s="67" t="str">
        <f>IF(TRIM(G736)&lt;&gt;"",COUNTA(G$11:$G736)&amp;"","")</f>
        <v/>
      </c>
      <c r="B736" s="311"/>
      <c r="C736" s="311"/>
      <c r="D736" s="30"/>
      <c r="E736" s="251" t="s">
        <v>398</v>
      </c>
      <c r="F736" s="69"/>
      <c r="G736" s="70"/>
      <c r="H736" s="21"/>
      <c r="I736" s="47"/>
      <c r="J736" s="265"/>
      <c r="K736" s="268"/>
      <c r="L736" s="258"/>
      <c r="M736" s="282"/>
      <c r="N736" s="22"/>
      <c r="O736" s="268"/>
      <c r="P736" s="23"/>
      <c r="Q736" s="268"/>
      <c r="R736" s="120"/>
    </row>
    <row r="737" spans="1:18" x14ac:dyDescent="0.35">
      <c r="A737" s="67" t="str">
        <f>IF(TRIM(G737)&lt;&gt;"",COUNTA(G$11:$G737)&amp;"","")</f>
        <v>478</v>
      </c>
      <c r="B737" s="312"/>
      <c r="C737" s="312"/>
      <c r="D737" s="30"/>
      <c r="E737" s="242" t="s">
        <v>397</v>
      </c>
      <c r="F737" s="69">
        <v>27.21</v>
      </c>
      <c r="G737" s="70" t="s">
        <v>163</v>
      </c>
      <c r="H737" s="21">
        <v>0.1</v>
      </c>
      <c r="I737" s="47">
        <f t="shared" ref="I737" si="1363">IF(F737=0,"",F737+(F737*H737))</f>
        <v>29.931000000000001</v>
      </c>
      <c r="J737" s="265">
        <v>95</v>
      </c>
      <c r="K737" s="268">
        <f t="shared" ref="K737" si="1364">IF(F737=0,"",J737*I737)</f>
        <v>2843.4450000000002</v>
      </c>
      <c r="L737" s="258">
        <f t="shared" ref="L737" si="1365">IF(F737=0,"",L$724)</f>
        <v>54</v>
      </c>
      <c r="M737" s="282">
        <v>0.5</v>
      </c>
      <c r="N737" s="22">
        <f t="shared" ref="N737" si="1366">IF(F737=0,"",M737*I737)</f>
        <v>14.9655</v>
      </c>
      <c r="O737" s="268">
        <f t="shared" ref="O737" si="1367">IF(F737=0,"",N737*L737)</f>
        <v>808.13700000000006</v>
      </c>
      <c r="P737" s="23">
        <f t="shared" ref="P737" si="1368">IF(F737=0,"",(K737+O737)/I737)</f>
        <v>122.00000000000001</v>
      </c>
      <c r="Q737" s="268">
        <f t="shared" ref="Q737" si="1369">IF(F737=0,"",(P737*I737))</f>
        <v>3651.5820000000003</v>
      </c>
      <c r="R737" s="120"/>
    </row>
    <row r="738" spans="1:18" ht="15" thickBot="1" x14ac:dyDescent="0.4">
      <c r="A738" s="67" t="str">
        <f>IF(TRIM(G738)&lt;&gt;"",COUNTA(G$11:$G738)&amp;"","")</f>
        <v/>
      </c>
      <c r="B738" s="71"/>
      <c r="C738" s="71"/>
      <c r="D738" s="30"/>
      <c r="E738" s="72"/>
      <c r="F738" s="69"/>
      <c r="G738" s="70"/>
      <c r="H738" s="21" t="str">
        <f t="shared" si="1336"/>
        <v/>
      </c>
      <c r="I738" s="47" t="str">
        <f t="shared" si="1337"/>
        <v/>
      </c>
      <c r="J738" s="265" t="str">
        <f t="shared" si="1338"/>
        <v/>
      </c>
      <c r="K738" s="268" t="str">
        <f t="shared" si="1339"/>
        <v/>
      </c>
      <c r="L738" s="258" t="str">
        <f>IF(F738=0,"",L$724)</f>
        <v/>
      </c>
      <c r="M738" s="282" t="str">
        <f t="shared" si="1340"/>
        <v/>
      </c>
      <c r="N738" s="22" t="str">
        <f t="shared" si="1341"/>
        <v/>
      </c>
      <c r="O738" s="268" t="str">
        <f t="shared" si="1342"/>
        <v/>
      </c>
      <c r="P738" s="23" t="str">
        <f t="shared" si="1343"/>
        <v/>
      </c>
      <c r="Q738" s="268" t="str">
        <f t="shared" si="1344"/>
        <v/>
      </c>
      <c r="R738" s="120"/>
    </row>
    <row r="739" spans="1:18" s="2" customFormat="1" ht="16" thickBot="1" x14ac:dyDescent="0.4">
      <c r="A739" s="82" t="str">
        <f>IF(TRIM(G739)&lt;&gt;"",COUNTA(G$11:$G739)&amp;"","")</f>
        <v/>
      </c>
      <c r="B739" s="32"/>
      <c r="C739" s="32"/>
      <c r="D739" s="33"/>
      <c r="E739" s="18"/>
      <c r="F739" s="88"/>
      <c r="G739" s="89"/>
      <c r="H739" s="83" t="s">
        <v>12</v>
      </c>
      <c r="I739" s="84"/>
      <c r="J739" s="85">
        <f>SUM(K$725:K$738)</f>
        <v>6157.9913999999999</v>
      </c>
      <c r="K739" s="327" t="s">
        <v>13</v>
      </c>
      <c r="L739" s="328"/>
      <c r="M739" s="284">
        <f>SUM(O$725:O$738)</f>
        <v>1709.659116</v>
      </c>
      <c r="N739" s="327" t="s">
        <v>42</v>
      </c>
      <c r="O739" s="328"/>
      <c r="P739" s="87">
        <f>SUM(N$725:N$738)</f>
        <v>31.660353999999998</v>
      </c>
      <c r="Q739" s="274" t="s">
        <v>205</v>
      </c>
      <c r="R739" s="86">
        <f>SUM(Q$725:Q$738)</f>
        <v>7867.6505159999997</v>
      </c>
    </row>
    <row r="740" spans="1:18" ht="25" customHeight="1" thickBot="1" x14ac:dyDescent="0.4">
      <c r="A740" s="169" t="str">
        <f>IF(TRIM(G740)&lt;&gt;"",COUNTA(G$11:$G740)&amp;"","")</f>
        <v/>
      </c>
      <c r="B740" s="170"/>
      <c r="C740" s="171" t="s">
        <v>144</v>
      </c>
      <c r="D740" s="180" t="s">
        <v>399</v>
      </c>
      <c r="E740" s="180" t="s">
        <v>400</v>
      </c>
      <c r="F740" s="181"/>
      <c r="G740" s="172"/>
      <c r="H740" s="170"/>
      <c r="I740" s="172"/>
      <c r="J740" s="263"/>
      <c r="K740" s="263"/>
      <c r="L740" s="257">
        <v>54</v>
      </c>
      <c r="M740" s="280"/>
      <c r="N740" s="170"/>
      <c r="O740" s="263"/>
      <c r="P740" s="170"/>
      <c r="Q740" s="263"/>
      <c r="R740" s="173"/>
    </row>
    <row r="741" spans="1:18" s="17" customFormat="1" ht="19.25" customHeight="1" x14ac:dyDescent="0.35">
      <c r="A741" s="107" t="str">
        <f>IF(TRIM(G741)&lt;&gt;"",COUNTA(G$11:$G741)&amp;"","")</f>
        <v/>
      </c>
      <c r="B741" s="168"/>
      <c r="C741" s="168"/>
      <c r="D741" s="188" t="s">
        <v>401</v>
      </c>
      <c r="E741" s="189" t="s">
        <v>402</v>
      </c>
      <c r="F741" s="111"/>
      <c r="G741" s="112"/>
      <c r="H741" s="113"/>
      <c r="I741" s="114"/>
      <c r="J741" s="264"/>
      <c r="K741" s="258"/>
      <c r="L741" s="258"/>
      <c r="M741" s="281"/>
      <c r="N741" s="115"/>
      <c r="O741" s="258"/>
      <c r="P741" s="116"/>
      <c r="Q741" s="258"/>
      <c r="R741" s="179"/>
    </row>
    <row r="742" spans="1:18" x14ac:dyDescent="0.35">
      <c r="A742" s="67" t="str">
        <f>IF(TRIM(G742)&lt;&gt;"",COUNTA(G$11:$G742)&amp;"","")</f>
        <v>479</v>
      </c>
      <c r="B742" s="29" t="s">
        <v>632</v>
      </c>
      <c r="C742" s="29" t="s">
        <v>632</v>
      </c>
      <c r="D742" s="30"/>
      <c r="E742" s="65" t="s">
        <v>403</v>
      </c>
      <c r="F742" s="69">
        <v>1</v>
      </c>
      <c r="G742" s="70" t="s">
        <v>211</v>
      </c>
      <c r="H742" s="21">
        <f t="shared" ref="H742:H743" si="1370">IF(F742=0,"",0)</f>
        <v>0</v>
      </c>
      <c r="I742" s="47">
        <f t="shared" ref="I742:I743" si="1371">IF(F742=0,"",F742+(F742*H742))</f>
        <v>1</v>
      </c>
      <c r="J742" s="265">
        <v>2200</v>
      </c>
      <c r="K742" s="268">
        <f t="shared" ref="K742:K743" si="1372">IF(F742=0,"",J742*I742)</f>
        <v>2200</v>
      </c>
      <c r="L742" s="258">
        <f>$L$740</f>
        <v>54</v>
      </c>
      <c r="M742" s="282">
        <v>5</v>
      </c>
      <c r="N742" s="22">
        <f t="shared" ref="N742:N743" si="1373">IF(F742=0,"",M742*I742)</f>
        <v>5</v>
      </c>
      <c r="O742" s="268">
        <f t="shared" ref="O742:O743" si="1374">IF(F742=0,"",N742*L742)</f>
        <v>270</v>
      </c>
      <c r="P742" s="23">
        <f t="shared" ref="P742:P743" si="1375">IF(F742=0,"",(K742+O742)/I742)</f>
        <v>2470</v>
      </c>
      <c r="Q742" s="268">
        <f t="shared" ref="Q742:Q743" si="1376">IF(F742=0,"",(P742*I742))</f>
        <v>2470</v>
      </c>
      <c r="R742" s="118"/>
    </row>
    <row r="743" spans="1:18" ht="15" thickBot="1" x14ac:dyDescent="0.4">
      <c r="A743" s="67" t="str">
        <f>IF(TRIM(G743)&lt;&gt;"",COUNTA(G$11:$G743)&amp;"","")</f>
        <v/>
      </c>
      <c r="B743" s="71"/>
      <c r="C743" s="71"/>
      <c r="D743" s="30"/>
      <c r="E743" s="72"/>
      <c r="F743" s="69"/>
      <c r="G743" s="70"/>
      <c r="H743" s="21" t="str">
        <f t="shared" si="1370"/>
        <v/>
      </c>
      <c r="I743" s="47" t="str">
        <f t="shared" si="1371"/>
        <v/>
      </c>
      <c r="J743" s="265" t="str">
        <f t="shared" ref="J743" si="1377">IF(F743=0,"",0)</f>
        <v/>
      </c>
      <c r="K743" s="268" t="str">
        <f t="shared" si="1372"/>
        <v/>
      </c>
      <c r="L743" s="258" t="str">
        <f>IF(F743=0,"",L$779)</f>
        <v/>
      </c>
      <c r="M743" s="282" t="str">
        <f t="shared" ref="M743" si="1378">IF(F743=0,"",0)</f>
        <v/>
      </c>
      <c r="N743" s="22" t="str">
        <f t="shared" si="1373"/>
        <v/>
      </c>
      <c r="O743" s="268" t="str">
        <f t="shared" si="1374"/>
        <v/>
      </c>
      <c r="P743" s="23" t="str">
        <f t="shared" si="1375"/>
        <v/>
      </c>
      <c r="Q743" s="268" t="str">
        <f t="shared" si="1376"/>
        <v/>
      </c>
      <c r="R743" s="118"/>
    </row>
    <row r="744" spans="1:18" s="2" customFormat="1" ht="16" thickBot="1" x14ac:dyDescent="0.4">
      <c r="A744" s="82" t="str">
        <f>IF(TRIM(G744)&lt;&gt;"",COUNTA(G$11:$G744)&amp;"","")</f>
        <v/>
      </c>
      <c r="B744" s="32"/>
      <c r="C744" s="32"/>
      <c r="D744" s="33"/>
      <c r="E744" s="18"/>
      <c r="F744" s="88"/>
      <c r="G744" s="89"/>
      <c r="H744" s="83" t="s">
        <v>12</v>
      </c>
      <c r="I744" s="84"/>
      <c r="J744" s="85">
        <f>SUM(K$741:K$743)</f>
        <v>2200</v>
      </c>
      <c r="K744" s="327" t="s">
        <v>13</v>
      </c>
      <c r="L744" s="328"/>
      <c r="M744" s="284">
        <f>SUM(O$741:O$743)</f>
        <v>270</v>
      </c>
      <c r="N744" s="327" t="s">
        <v>42</v>
      </c>
      <c r="O744" s="328"/>
      <c r="P744" s="87">
        <f>SUM(N$741:N$743)</f>
        <v>5</v>
      </c>
      <c r="Q744" s="274" t="s">
        <v>205</v>
      </c>
      <c r="R744" s="86">
        <f>SUM(Q$741:Q$743)</f>
        <v>2470</v>
      </c>
    </row>
    <row r="745" spans="1:18" ht="30" customHeight="1" thickBot="1" x14ac:dyDescent="0.4">
      <c r="A745" s="174" t="str">
        <f>IF(TRIM(G745)&lt;&gt;"",COUNTA(G$11:$G745)&amp;"","")</f>
        <v/>
      </c>
      <c r="B745" s="175"/>
      <c r="C745" s="176"/>
      <c r="D745" s="176"/>
      <c r="E745" s="194" t="s">
        <v>196</v>
      </c>
      <c r="F745" s="177"/>
      <c r="G745" s="177"/>
      <c r="H745" s="175"/>
      <c r="I745" s="177"/>
      <c r="J745" s="259"/>
      <c r="K745" s="259"/>
      <c r="L745" s="259"/>
      <c r="M745" s="286"/>
      <c r="N745" s="175"/>
      <c r="O745" s="259"/>
      <c r="P745" s="175"/>
      <c r="Q745" s="256"/>
      <c r="R745" s="187"/>
    </row>
    <row r="746" spans="1:18" ht="25" customHeight="1" thickBot="1" x14ac:dyDescent="0.4">
      <c r="A746" s="169" t="str">
        <f>IF(TRIM(G746)&lt;&gt;"",COUNTA(G$11:$G746)&amp;"","")</f>
        <v/>
      </c>
      <c r="B746" s="170"/>
      <c r="C746" s="171" t="s">
        <v>144</v>
      </c>
      <c r="D746" s="180" t="s">
        <v>158</v>
      </c>
      <c r="E746" s="180" t="s">
        <v>161</v>
      </c>
      <c r="F746" s="181"/>
      <c r="G746" s="172"/>
      <c r="H746" s="170"/>
      <c r="I746" s="172"/>
      <c r="J746" s="263"/>
      <c r="K746" s="263"/>
      <c r="L746" s="257">
        <v>60</v>
      </c>
      <c r="M746" s="280"/>
      <c r="N746" s="170"/>
      <c r="O746" s="263"/>
      <c r="P746" s="170"/>
      <c r="Q746" s="263"/>
      <c r="R746" s="173"/>
    </row>
    <row r="747" spans="1:18" ht="19.25" customHeight="1" x14ac:dyDescent="0.35">
      <c r="A747" s="67" t="str">
        <f>IF(TRIM(G747)&lt;&gt;"",COUNTA(G$11:$G747)&amp;"","")</f>
        <v/>
      </c>
      <c r="B747" s="68"/>
      <c r="C747" s="68"/>
      <c r="D747" s="30"/>
      <c r="E747" s="231" t="s">
        <v>230</v>
      </c>
      <c r="F747" s="230"/>
      <c r="G747" s="70"/>
      <c r="H747" s="21" t="str">
        <f t="shared" ref="H747" si="1379">IF(F747=0,"",0)</f>
        <v/>
      </c>
      <c r="I747" s="47" t="str">
        <f t="shared" ref="I747:I753" si="1380">IF(F747=0,"",F747+(F747*H747))</f>
        <v/>
      </c>
      <c r="J747" s="265" t="str">
        <f t="shared" ref="J747:J752" si="1381">IF(F747=0,"",0)</f>
        <v/>
      </c>
      <c r="K747" s="268" t="str">
        <f t="shared" ref="K747:K753" si="1382">IF(F747=0,"",J747*I747)</f>
        <v/>
      </c>
      <c r="L747" s="258" t="str">
        <f t="shared" ref="L747:L754" si="1383">IF(F747=0,"",L$746)</f>
        <v/>
      </c>
      <c r="M747" s="282" t="str">
        <f t="shared" ref="M747:M752" si="1384">IF(F747=0,"",0)</f>
        <v/>
      </c>
      <c r="N747" s="22" t="str">
        <f t="shared" ref="N747:N753" si="1385">IF(F747=0,"",M747*I747)</f>
        <v/>
      </c>
      <c r="O747" s="268" t="str">
        <f t="shared" ref="O747:O753" si="1386">IF(F747=0,"",N747*L747)</f>
        <v/>
      </c>
      <c r="P747" s="23" t="str">
        <f t="shared" ref="P747:P753" si="1387">IF(F747=0,"",(K747+O747)/I747)</f>
        <v/>
      </c>
      <c r="Q747" s="268" t="str">
        <f t="shared" ref="Q747:Q753" si="1388">IF(F747=0,"",(P747*I747))</f>
        <v/>
      </c>
      <c r="R747" s="118"/>
    </row>
    <row r="748" spans="1:18" x14ac:dyDescent="0.35">
      <c r="A748" s="67" t="str">
        <f>IF(TRIM(G748)&lt;&gt;"",COUNTA(G$11:$G748)&amp;"","")</f>
        <v>480</v>
      </c>
      <c r="B748" s="310" t="s">
        <v>632</v>
      </c>
      <c r="C748" s="310" t="s">
        <v>632</v>
      </c>
      <c r="D748" s="30"/>
      <c r="E748" s="60" t="s">
        <v>367</v>
      </c>
      <c r="F748" s="230">
        <v>1</v>
      </c>
      <c r="G748" s="70" t="s">
        <v>211</v>
      </c>
      <c r="H748" s="21">
        <f t="shared" ref="H748:H752" si="1389">IF(F748=0,"",0)</f>
        <v>0</v>
      </c>
      <c r="I748" s="47">
        <f t="shared" si="1380"/>
        <v>1</v>
      </c>
      <c r="J748" s="265">
        <v>950</v>
      </c>
      <c r="K748" s="268">
        <f t="shared" si="1382"/>
        <v>950</v>
      </c>
      <c r="L748" s="258">
        <f t="shared" si="1383"/>
        <v>60</v>
      </c>
      <c r="M748" s="282">
        <v>3.75</v>
      </c>
      <c r="N748" s="22">
        <f t="shared" si="1385"/>
        <v>3.75</v>
      </c>
      <c r="O748" s="268">
        <f t="shared" si="1386"/>
        <v>225</v>
      </c>
      <c r="P748" s="23">
        <f t="shared" si="1387"/>
        <v>1175</v>
      </c>
      <c r="Q748" s="268">
        <f t="shared" si="1388"/>
        <v>1175</v>
      </c>
      <c r="R748" s="118"/>
    </row>
    <row r="749" spans="1:18" x14ac:dyDescent="0.35">
      <c r="A749" s="67" t="str">
        <f>IF(TRIM(G749)&lt;&gt;"",COUNTA(G$11:$G749)&amp;"","")</f>
        <v>481</v>
      </c>
      <c r="B749" s="311"/>
      <c r="C749" s="311"/>
      <c r="D749" s="30"/>
      <c r="E749" s="210" t="s">
        <v>368</v>
      </c>
      <c r="F749" s="230">
        <v>1</v>
      </c>
      <c r="G749" s="70" t="s">
        <v>211</v>
      </c>
      <c r="H749" s="21">
        <f t="shared" si="1389"/>
        <v>0</v>
      </c>
      <c r="I749" s="47">
        <f t="shared" si="1380"/>
        <v>1</v>
      </c>
      <c r="J749" s="265">
        <v>425</v>
      </c>
      <c r="K749" s="268">
        <f t="shared" si="1382"/>
        <v>425</v>
      </c>
      <c r="L749" s="258">
        <f t="shared" si="1383"/>
        <v>60</v>
      </c>
      <c r="M749" s="282">
        <v>3.4</v>
      </c>
      <c r="N749" s="22">
        <f t="shared" si="1385"/>
        <v>3.4</v>
      </c>
      <c r="O749" s="268">
        <f t="shared" si="1386"/>
        <v>204</v>
      </c>
      <c r="P749" s="23">
        <f t="shared" si="1387"/>
        <v>629</v>
      </c>
      <c r="Q749" s="268">
        <f t="shared" si="1388"/>
        <v>629</v>
      </c>
      <c r="R749" s="118"/>
    </row>
    <row r="750" spans="1:18" ht="29" x14ac:dyDescent="0.35">
      <c r="A750" s="67" t="str">
        <f>IF(TRIM(G750)&lt;&gt;"",COUNTA(G$11:$G750)&amp;"","")</f>
        <v>482</v>
      </c>
      <c r="B750" s="311"/>
      <c r="C750" s="311"/>
      <c r="D750" s="30"/>
      <c r="E750" s="65" t="s">
        <v>369</v>
      </c>
      <c r="F750" s="230">
        <v>1</v>
      </c>
      <c r="G750" s="70" t="s">
        <v>211</v>
      </c>
      <c r="H750" s="21">
        <f t="shared" si="1389"/>
        <v>0</v>
      </c>
      <c r="I750" s="47">
        <f t="shared" si="1380"/>
        <v>1</v>
      </c>
      <c r="J750" s="265">
        <v>625</v>
      </c>
      <c r="K750" s="268">
        <f t="shared" si="1382"/>
        <v>625</v>
      </c>
      <c r="L750" s="258">
        <f t="shared" si="1383"/>
        <v>60</v>
      </c>
      <c r="M750" s="282">
        <v>3.65</v>
      </c>
      <c r="N750" s="22">
        <f t="shared" si="1385"/>
        <v>3.65</v>
      </c>
      <c r="O750" s="268">
        <f t="shared" si="1386"/>
        <v>219</v>
      </c>
      <c r="P750" s="23">
        <f t="shared" si="1387"/>
        <v>844</v>
      </c>
      <c r="Q750" s="268">
        <f t="shared" si="1388"/>
        <v>844</v>
      </c>
      <c r="R750" s="118"/>
    </row>
    <row r="751" spans="1:18" x14ac:dyDescent="0.35">
      <c r="A751" s="67" t="str">
        <f>IF(TRIM(G751)&lt;&gt;"",COUNTA(G$11:$G751)&amp;"","")</f>
        <v/>
      </c>
      <c r="B751" s="311"/>
      <c r="C751" s="311"/>
      <c r="D751" s="30"/>
      <c r="E751" s="210"/>
      <c r="F751" s="230"/>
      <c r="G751" s="70"/>
      <c r="H751" s="21" t="str">
        <f t="shared" si="1389"/>
        <v/>
      </c>
      <c r="I751" s="47" t="str">
        <f t="shared" si="1380"/>
        <v/>
      </c>
      <c r="J751" s="265" t="str">
        <f t="shared" si="1381"/>
        <v/>
      </c>
      <c r="K751" s="268" t="str">
        <f t="shared" si="1382"/>
        <v/>
      </c>
      <c r="L751" s="258" t="str">
        <f t="shared" si="1383"/>
        <v/>
      </c>
      <c r="M751" s="282" t="str">
        <f t="shared" si="1384"/>
        <v/>
      </c>
      <c r="N751" s="22" t="str">
        <f t="shared" si="1385"/>
        <v/>
      </c>
      <c r="O751" s="268" t="str">
        <f t="shared" si="1386"/>
        <v/>
      </c>
      <c r="P751" s="23" t="str">
        <f t="shared" si="1387"/>
        <v/>
      </c>
      <c r="Q751" s="268" t="str">
        <f t="shared" si="1388"/>
        <v/>
      </c>
      <c r="R751" s="118"/>
    </row>
    <row r="752" spans="1:18" ht="19.25" customHeight="1" x14ac:dyDescent="0.35">
      <c r="A752" s="67" t="str">
        <f>IF(TRIM(G752)&lt;&gt;"",COUNTA(G$11:$G752)&amp;"","")</f>
        <v/>
      </c>
      <c r="B752" s="311"/>
      <c r="C752" s="311"/>
      <c r="D752" s="30"/>
      <c r="E752" s="231" t="s">
        <v>370</v>
      </c>
      <c r="F752" s="230"/>
      <c r="G752" s="70"/>
      <c r="H752" s="21" t="str">
        <f t="shared" si="1389"/>
        <v/>
      </c>
      <c r="I752" s="47" t="str">
        <f t="shared" si="1380"/>
        <v/>
      </c>
      <c r="J752" s="265" t="str">
        <f t="shared" si="1381"/>
        <v/>
      </c>
      <c r="K752" s="268" t="str">
        <f t="shared" si="1382"/>
        <v/>
      </c>
      <c r="L752" s="258" t="str">
        <f t="shared" si="1383"/>
        <v/>
      </c>
      <c r="M752" s="282" t="str">
        <f t="shared" si="1384"/>
        <v/>
      </c>
      <c r="N752" s="22" t="str">
        <f t="shared" si="1385"/>
        <v/>
      </c>
      <c r="O752" s="268" t="str">
        <f t="shared" si="1386"/>
        <v/>
      </c>
      <c r="P752" s="23" t="str">
        <f t="shared" si="1387"/>
        <v/>
      </c>
      <c r="Q752" s="268" t="str">
        <f t="shared" si="1388"/>
        <v/>
      </c>
      <c r="R752" s="118"/>
    </row>
    <row r="753" spans="1:18" x14ac:dyDescent="0.35">
      <c r="A753" s="67" t="str">
        <f>IF(TRIM(G753)&lt;&gt;"",COUNTA(G$11:$G753)&amp;"","")</f>
        <v>483</v>
      </c>
      <c r="B753" s="312"/>
      <c r="C753" s="312"/>
      <c r="D753" s="30"/>
      <c r="E753" s="60" t="s">
        <v>371</v>
      </c>
      <c r="F753" s="230">
        <v>1120</v>
      </c>
      <c r="G753" s="70" t="s">
        <v>163</v>
      </c>
      <c r="H753" s="21">
        <v>0.1</v>
      </c>
      <c r="I753" s="47">
        <f t="shared" si="1380"/>
        <v>1232</v>
      </c>
      <c r="J753" s="265">
        <v>3</v>
      </c>
      <c r="K753" s="268">
        <f t="shared" si="1382"/>
        <v>3696</v>
      </c>
      <c r="L753" s="258">
        <f t="shared" si="1383"/>
        <v>60</v>
      </c>
      <c r="M753" s="282">
        <v>2.5000000000000001E-2</v>
      </c>
      <c r="N753" s="22">
        <f t="shared" si="1385"/>
        <v>30.8</v>
      </c>
      <c r="O753" s="268">
        <f t="shared" si="1386"/>
        <v>1848</v>
      </c>
      <c r="P753" s="23">
        <f t="shared" si="1387"/>
        <v>4.5</v>
      </c>
      <c r="Q753" s="268">
        <f t="shared" si="1388"/>
        <v>5544</v>
      </c>
      <c r="R753" s="118"/>
    </row>
    <row r="754" spans="1:18" ht="15" thickBot="1" x14ac:dyDescent="0.4">
      <c r="A754" s="67" t="str">
        <f>IF(TRIM(G754)&lt;&gt;"",COUNTA(G$11:$G754)&amp;"","")</f>
        <v/>
      </c>
      <c r="B754" s="71"/>
      <c r="C754" s="71"/>
      <c r="D754" s="30"/>
      <c r="E754" s="72"/>
      <c r="F754" s="69"/>
      <c r="G754" s="70"/>
      <c r="H754" s="21" t="str">
        <f t="shared" ref="H754" si="1390">IF(F754=0,"",0)</f>
        <v/>
      </c>
      <c r="I754" s="47" t="str">
        <f t="shared" ref="I754" si="1391">IF(F754=0,"",F754+(F754*H754))</f>
        <v/>
      </c>
      <c r="J754" s="265" t="str">
        <f t="shared" ref="J754" si="1392">IF(F754=0,"",0)</f>
        <v/>
      </c>
      <c r="K754" s="268" t="str">
        <f t="shared" ref="K754" si="1393">IF(F754=0,"",J754*I754)</f>
        <v/>
      </c>
      <c r="L754" s="258" t="str">
        <f t="shared" si="1383"/>
        <v/>
      </c>
      <c r="M754" s="282" t="str">
        <f t="shared" ref="M754" si="1394">IF(F754=0,"",0)</f>
        <v/>
      </c>
      <c r="N754" s="22" t="str">
        <f t="shared" ref="N754" si="1395">IF(F754=0,"",M754*I754)</f>
        <v/>
      </c>
      <c r="O754" s="268" t="str">
        <f t="shared" ref="O754" si="1396">IF(F754=0,"",N754*L754)</f>
        <v/>
      </c>
      <c r="P754" s="23" t="str">
        <f t="shared" ref="P754" si="1397">IF(F754=0,"",(K754+O754)/I754)</f>
        <v/>
      </c>
      <c r="Q754" s="268" t="str">
        <f t="shared" ref="Q754" si="1398">IF(F754=0,"",(P754*I754))</f>
        <v/>
      </c>
      <c r="R754" s="118"/>
    </row>
    <row r="755" spans="1:18" s="2" customFormat="1" ht="16" thickBot="1" x14ac:dyDescent="0.4">
      <c r="A755" s="82" t="str">
        <f>IF(TRIM(G755)&lt;&gt;"",COUNTA(G$11:$G755)&amp;"","")</f>
        <v/>
      </c>
      <c r="B755" s="32"/>
      <c r="C755" s="32"/>
      <c r="D755" s="33"/>
      <c r="E755" s="18"/>
      <c r="F755" s="88"/>
      <c r="G755" s="89"/>
      <c r="H755" s="83" t="s">
        <v>12</v>
      </c>
      <c r="I755" s="84"/>
      <c r="J755" s="85">
        <f>SUM(K$747:K$754)</f>
        <v>5696</v>
      </c>
      <c r="K755" s="327" t="s">
        <v>13</v>
      </c>
      <c r="L755" s="328"/>
      <c r="M755" s="284">
        <f>SUM(O$747:O$754)</f>
        <v>2496</v>
      </c>
      <c r="N755" s="327" t="s">
        <v>42</v>
      </c>
      <c r="O755" s="328"/>
      <c r="P755" s="87">
        <f>SUM(N$747:N$754)</f>
        <v>41.6</v>
      </c>
      <c r="Q755" s="274" t="s">
        <v>205</v>
      </c>
      <c r="R755" s="86">
        <f>SUM(Q$747:Q$754)</f>
        <v>8192</v>
      </c>
    </row>
    <row r="756" spans="1:18" ht="25" customHeight="1" thickBot="1" x14ac:dyDescent="0.4">
      <c r="A756" s="169" t="str">
        <f>IF(TRIM(G756)&lt;&gt;"",COUNTA(G$11:$G756)&amp;"","")</f>
        <v/>
      </c>
      <c r="B756" s="170"/>
      <c r="C756" s="171" t="s">
        <v>144</v>
      </c>
      <c r="D756" s="180" t="s">
        <v>159</v>
      </c>
      <c r="E756" s="180" t="s">
        <v>191</v>
      </c>
      <c r="F756" s="181"/>
      <c r="G756" s="172"/>
      <c r="H756" s="170"/>
      <c r="I756" s="172"/>
      <c r="J756" s="263"/>
      <c r="K756" s="263"/>
      <c r="L756" s="257">
        <v>60</v>
      </c>
      <c r="M756" s="280"/>
      <c r="N756" s="170"/>
      <c r="O756" s="263"/>
      <c r="P756" s="170"/>
      <c r="Q756" s="263"/>
      <c r="R756" s="173"/>
    </row>
    <row r="757" spans="1:18" ht="19.25" customHeight="1" x14ac:dyDescent="0.35">
      <c r="A757" s="67" t="str">
        <f>IF(TRIM(G757)&lt;&gt;"",COUNTA(G$11:$G757)&amp;"","")</f>
        <v/>
      </c>
      <c r="B757" s="68"/>
      <c r="C757" s="68"/>
      <c r="D757" s="30"/>
      <c r="E757" s="231" t="s">
        <v>230</v>
      </c>
      <c r="F757" s="230"/>
      <c r="G757" s="70"/>
      <c r="H757" s="21" t="str">
        <f t="shared" ref="H757:H762" si="1399">IF(F757=0,"",0)</f>
        <v/>
      </c>
      <c r="I757" s="47" t="str">
        <f t="shared" ref="I757:I762" si="1400">IF(F757=0,"",F757+(F757*H757))</f>
        <v/>
      </c>
      <c r="J757" s="265" t="str">
        <f t="shared" ref="J757:J762" si="1401">IF(F757=0,"",0)</f>
        <v/>
      </c>
      <c r="K757" s="268" t="str">
        <f t="shared" ref="K757:K762" si="1402">IF(F757=0,"",J757*I757)</f>
        <v/>
      </c>
      <c r="L757" s="258" t="str">
        <f>IF(F757=0,"",L$756)</f>
        <v/>
      </c>
      <c r="M757" s="282" t="str">
        <f t="shared" ref="M757:M762" si="1403">IF(F757=0,"",0)</f>
        <v/>
      </c>
      <c r="N757" s="22" t="str">
        <f t="shared" ref="N757:N762" si="1404">IF(F757=0,"",M757*I757)</f>
        <v/>
      </c>
      <c r="O757" s="268" t="str">
        <f t="shared" ref="O757:O762" si="1405">IF(F757=0,"",N757*L757)</f>
        <v/>
      </c>
      <c r="P757" s="23" t="str">
        <f t="shared" ref="P757:P761" si="1406">IF(F757=0,"",(K757+O757)/I757)</f>
        <v/>
      </c>
      <c r="Q757" s="268" t="str">
        <f t="shared" ref="Q757:Q761" si="1407">IF(F757=0,"",(P757*I757))</f>
        <v/>
      </c>
      <c r="R757" s="118"/>
    </row>
    <row r="758" spans="1:18" x14ac:dyDescent="0.35">
      <c r="A758" s="67" t="str">
        <f>IF(TRIM(G758)&lt;&gt;"",COUNTA(G$11:$G758)&amp;"","")</f>
        <v>484</v>
      </c>
      <c r="B758" s="310" t="s">
        <v>632</v>
      </c>
      <c r="C758" s="310" t="s">
        <v>632</v>
      </c>
      <c r="D758" s="30"/>
      <c r="E758" s="232" t="s">
        <v>599</v>
      </c>
      <c r="F758" s="69">
        <v>21.21</v>
      </c>
      <c r="G758" s="70" t="s">
        <v>177</v>
      </c>
      <c r="H758" s="21">
        <v>0.1</v>
      </c>
      <c r="I758" s="47">
        <f t="shared" si="1400"/>
        <v>23.331</v>
      </c>
      <c r="J758" s="265">
        <v>22</v>
      </c>
      <c r="K758" s="268">
        <f t="shared" si="1402"/>
        <v>513.28200000000004</v>
      </c>
      <c r="L758" s="258">
        <f>IF(F758=0,"",L$756)</f>
        <v>60</v>
      </c>
      <c r="M758" s="282">
        <v>0.1</v>
      </c>
      <c r="N758" s="22">
        <f t="shared" si="1404"/>
        <v>2.3331</v>
      </c>
      <c r="O758" s="268">
        <f t="shared" si="1405"/>
        <v>139.98599999999999</v>
      </c>
      <c r="P758" s="23">
        <f t="shared" si="1406"/>
        <v>28.000000000000004</v>
      </c>
      <c r="Q758" s="268">
        <f t="shared" si="1407"/>
        <v>653.26800000000003</v>
      </c>
      <c r="R758" s="118"/>
    </row>
    <row r="759" spans="1:18" x14ac:dyDescent="0.35">
      <c r="A759" s="67" t="str">
        <f>IF(TRIM(G759)&lt;&gt;"",COUNTA(G$11:$G759)&amp;"","")</f>
        <v/>
      </c>
      <c r="B759" s="311"/>
      <c r="C759" s="311"/>
      <c r="D759" s="30"/>
      <c r="E759" s="232"/>
      <c r="F759" s="69"/>
      <c r="G759" s="70"/>
      <c r="H759" s="21"/>
      <c r="I759" s="47"/>
      <c r="J759" s="265"/>
      <c r="K759" s="268"/>
      <c r="L759" s="258"/>
      <c r="M759" s="282"/>
      <c r="N759" s="22"/>
      <c r="O759" s="268"/>
      <c r="P759" s="23"/>
      <c r="Q759" s="268"/>
      <c r="R759" s="118"/>
    </row>
    <row r="760" spans="1:18" x14ac:dyDescent="0.35">
      <c r="A760" s="67" t="str">
        <f>IF(TRIM(G760)&lt;&gt;"",COUNTA(G$11:$G760)&amp;"","")</f>
        <v/>
      </c>
      <c r="B760" s="311"/>
      <c r="C760" s="311"/>
      <c r="D760" s="30"/>
      <c r="E760" s="231" t="s">
        <v>366</v>
      </c>
      <c r="F760" s="69"/>
      <c r="G760" s="70"/>
      <c r="H760" s="21"/>
      <c r="I760" s="47"/>
      <c r="J760" s="265"/>
      <c r="K760" s="268"/>
      <c r="L760" s="258"/>
      <c r="M760" s="282"/>
      <c r="N760" s="22"/>
      <c r="O760" s="268"/>
      <c r="P760" s="23"/>
      <c r="Q760" s="268"/>
      <c r="R760" s="118"/>
    </row>
    <row r="761" spans="1:18" x14ac:dyDescent="0.35">
      <c r="A761" s="67" t="str">
        <f>IF(TRIM(G761)&lt;&gt;"",COUNTA(G$11:$G761)&amp;"","")</f>
        <v>485</v>
      </c>
      <c r="B761" s="312"/>
      <c r="C761" s="312"/>
      <c r="D761" s="30"/>
      <c r="E761" s="60" t="s">
        <v>600</v>
      </c>
      <c r="F761" s="230">
        <v>1120</v>
      </c>
      <c r="G761" s="70" t="s">
        <v>163</v>
      </c>
      <c r="H761" s="21">
        <v>0.1</v>
      </c>
      <c r="I761" s="47">
        <f t="shared" si="1400"/>
        <v>1232</v>
      </c>
      <c r="J761" s="265">
        <v>4.5</v>
      </c>
      <c r="K761" s="268">
        <f t="shared" si="1402"/>
        <v>5544</v>
      </c>
      <c r="L761" s="258">
        <f>IF(F761=0,"",L$756)</f>
        <v>60</v>
      </c>
      <c r="M761" s="282">
        <v>0.03</v>
      </c>
      <c r="N761" s="22">
        <f t="shared" si="1404"/>
        <v>36.96</v>
      </c>
      <c r="O761" s="268">
        <f t="shared" si="1405"/>
        <v>2217.6</v>
      </c>
      <c r="P761" s="23">
        <f t="shared" si="1406"/>
        <v>6.3000000000000007</v>
      </c>
      <c r="Q761" s="268">
        <f t="shared" si="1407"/>
        <v>7761.6000000000013</v>
      </c>
      <c r="R761" s="118"/>
    </row>
    <row r="762" spans="1:18" ht="15" thickBot="1" x14ac:dyDescent="0.4">
      <c r="A762" s="67" t="str">
        <f>IF(TRIM(G762)&lt;&gt;"",COUNTA(G$11:$G762)&amp;"","")</f>
        <v/>
      </c>
      <c r="B762" s="71"/>
      <c r="C762" s="71"/>
      <c r="D762" s="30"/>
      <c r="E762" s="72"/>
      <c r="F762" s="69"/>
      <c r="G762" s="70"/>
      <c r="H762" s="21" t="str">
        <f t="shared" si="1399"/>
        <v/>
      </c>
      <c r="I762" s="47" t="str">
        <f t="shared" si="1400"/>
        <v/>
      </c>
      <c r="J762" s="265" t="str">
        <f t="shared" si="1401"/>
        <v/>
      </c>
      <c r="K762" s="268" t="str">
        <f t="shared" si="1402"/>
        <v/>
      </c>
      <c r="L762" s="258" t="str">
        <f>IF(F762=0,"",L$756)</f>
        <v/>
      </c>
      <c r="M762" s="282" t="str">
        <f t="shared" si="1403"/>
        <v/>
      </c>
      <c r="N762" s="22" t="str">
        <f t="shared" si="1404"/>
        <v/>
      </c>
      <c r="O762" s="268" t="str">
        <f t="shared" si="1405"/>
        <v/>
      </c>
      <c r="P762" s="23" t="str">
        <f t="shared" ref="P762" si="1408">IF(F762=0,"",(K762+O762)/I762)</f>
        <v/>
      </c>
      <c r="Q762" s="268" t="str">
        <f t="shared" ref="Q762" si="1409">IF(F762=0,"",(P762*I762))</f>
        <v/>
      </c>
      <c r="R762" s="118"/>
    </row>
    <row r="763" spans="1:18" s="2" customFormat="1" ht="16" thickBot="1" x14ac:dyDescent="0.4">
      <c r="A763" s="82" t="str">
        <f>IF(TRIM(G763)&lt;&gt;"",COUNTA(G$11:$G763)&amp;"","")</f>
        <v/>
      </c>
      <c r="B763" s="32"/>
      <c r="C763" s="32"/>
      <c r="D763" s="33"/>
      <c r="E763" s="18"/>
      <c r="F763" s="88"/>
      <c r="G763" s="89"/>
      <c r="H763" s="83" t="s">
        <v>12</v>
      </c>
      <c r="I763" s="84"/>
      <c r="J763" s="85">
        <f>SUM(K$757:K$762)</f>
        <v>6057.2820000000002</v>
      </c>
      <c r="K763" s="327" t="s">
        <v>13</v>
      </c>
      <c r="L763" s="328"/>
      <c r="M763" s="284">
        <f>SUM(O$757:O$762)</f>
        <v>2357.5859999999998</v>
      </c>
      <c r="N763" s="327" t="s">
        <v>42</v>
      </c>
      <c r="O763" s="328"/>
      <c r="P763" s="87">
        <f>SUM(N$757:N$762)</f>
        <v>39.293100000000003</v>
      </c>
      <c r="Q763" s="274" t="s">
        <v>205</v>
      </c>
      <c r="R763" s="86">
        <f>SUM(Q$757:Q$762)</f>
        <v>8414.8680000000022</v>
      </c>
    </row>
    <row r="764" spans="1:18" ht="25" customHeight="1" thickBot="1" x14ac:dyDescent="0.4">
      <c r="A764" s="169" t="str">
        <f>IF(TRIM(G764)&lt;&gt;"",COUNTA(G$11:$G764)&amp;"","")</f>
        <v/>
      </c>
      <c r="B764" s="170"/>
      <c r="C764" s="171" t="s">
        <v>144</v>
      </c>
      <c r="D764" s="180" t="s">
        <v>160</v>
      </c>
      <c r="E764" s="180" t="s">
        <v>162</v>
      </c>
      <c r="F764" s="181"/>
      <c r="G764" s="172"/>
      <c r="H764" s="170"/>
      <c r="I764" s="172"/>
      <c r="J764" s="263"/>
      <c r="K764" s="263"/>
      <c r="L764" s="257">
        <v>60</v>
      </c>
      <c r="M764" s="280"/>
      <c r="N764" s="170"/>
      <c r="O764" s="263"/>
      <c r="P764" s="170"/>
      <c r="Q764" s="263"/>
      <c r="R764" s="173"/>
    </row>
    <row r="765" spans="1:18" ht="19.25" customHeight="1" x14ac:dyDescent="0.35">
      <c r="A765" s="67" t="str">
        <f>IF(TRIM(G765)&lt;&gt;"",COUNTA(G$11:$G765)&amp;"","")</f>
        <v/>
      </c>
      <c r="B765" s="68"/>
      <c r="C765" s="68"/>
      <c r="D765" s="233"/>
      <c r="E765" s="231" t="s">
        <v>361</v>
      </c>
      <c r="F765" s="230"/>
      <c r="G765" s="70"/>
      <c r="H765" s="21" t="str">
        <f t="shared" ref="H765" si="1410">IF(F765=0,"",0)</f>
        <v/>
      </c>
      <c r="I765" s="47" t="str">
        <f t="shared" ref="I765" si="1411">IF(F765=0,"",F765+(F765*H765))</f>
        <v/>
      </c>
      <c r="J765" s="265" t="str">
        <f t="shared" ref="J765" si="1412">IF(F765=0,"",0)</f>
        <v/>
      </c>
      <c r="K765" s="268" t="str">
        <f t="shared" ref="K765:K790" si="1413">IF(F765=0,"",J765*I765)</f>
        <v/>
      </c>
      <c r="L765" s="258" t="str">
        <f t="shared" ref="L765:L770" si="1414">IF(F765=0,"",L$764)</f>
        <v/>
      </c>
      <c r="M765" s="282" t="str">
        <f t="shared" ref="M765" si="1415">IF(F765=0,"",0)</f>
        <v/>
      </c>
      <c r="N765" s="22" t="str">
        <f t="shared" ref="N765:N790" si="1416">IF(F765=0,"",M765*I765)</f>
        <v/>
      </c>
      <c r="O765" s="268" t="str">
        <f t="shared" ref="O765:O790" si="1417">IF(F765=0,"",N765*L765)</f>
        <v/>
      </c>
      <c r="P765" s="23" t="str">
        <f t="shared" ref="P765:P791" si="1418">IF(F765=0,"",(K765+O765)/I765)</f>
        <v/>
      </c>
      <c r="Q765" s="268" t="str">
        <f t="shared" ref="Q765:Q791" si="1419">IF(F765=0,"",(P765*I765))</f>
        <v/>
      </c>
      <c r="R765" s="118"/>
    </row>
    <row r="766" spans="1:18" x14ac:dyDescent="0.35">
      <c r="A766" s="67" t="str">
        <f>IF(TRIM(G766)&lt;&gt;"",COUNTA(G$11:$G766)&amp;"","")</f>
        <v>486</v>
      </c>
      <c r="B766" s="310" t="s">
        <v>632</v>
      </c>
      <c r="C766" s="310" t="s">
        <v>632</v>
      </c>
      <c r="D766" s="233"/>
      <c r="E766" s="60" t="s">
        <v>347</v>
      </c>
      <c r="F766" s="230">
        <v>12</v>
      </c>
      <c r="G766" s="70" t="s">
        <v>211</v>
      </c>
      <c r="H766" s="21">
        <f t="shared" ref="H766:H773" si="1420">IF(F766=0,"",0)</f>
        <v>0</v>
      </c>
      <c r="I766" s="47">
        <f t="shared" ref="I766:I773" si="1421">IF(F766=0,"",F766+(F766*H766))</f>
        <v>12</v>
      </c>
      <c r="J766" s="265">
        <v>75</v>
      </c>
      <c r="K766" s="268">
        <f t="shared" si="1413"/>
        <v>900</v>
      </c>
      <c r="L766" s="258">
        <f t="shared" si="1414"/>
        <v>60</v>
      </c>
      <c r="M766" s="282">
        <v>0.62250000000000005</v>
      </c>
      <c r="N766" s="22">
        <f t="shared" si="1416"/>
        <v>7.4700000000000006</v>
      </c>
      <c r="O766" s="268">
        <f t="shared" si="1417"/>
        <v>448.20000000000005</v>
      </c>
      <c r="P766" s="23">
        <f t="shared" si="1418"/>
        <v>112.35000000000001</v>
      </c>
      <c r="Q766" s="268">
        <f t="shared" si="1419"/>
        <v>1348.2</v>
      </c>
      <c r="R766" s="118"/>
    </row>
    <row r="767" spans="1:18" x14ac:dyDescent="0.35">
      <c r="A767" s="67" t="str">
        <f>IF(TRIM(G767)&lt;&gt;"",COUNTA(G$11:$G767)&amp;"","")</f>
        <v>487</v>
      </c>
      <c r="B767" s="311"/>
      <c r="C767" s="311"/>
      <c r="D767" s="233"/>
      <c r="E767" s="60" t="s">
        <v>348</v>
      </c>
      <c r="F767" s="230">
        <v>11</v>
      </c>
      <c r="G767" s="70" t="s">
        <v>211</v>
      </c>
      <c r="H767" s="21">
        <f t="shared" si="1420"/>
        <v>0</v>
      </c>
      <c r="I767" s="47">
        <f t="shared" si="1421"/>
        <v>11</v>
      </c>
      <c r="J767" s="265">
        <v>70</v>
      </c>
      <c r="K767" s="268">
        <f t="shared" si="1413"/>
        <v>770</v>
      </c>
      <c r="L767" s="258">
        <f t="shared" si="1414"/>
        <v>60</v>
      </c>
      <c r="M767" s="282">
        <v>0.58099999999999996</v>
      </c>
      <c r="N767" s="22">
        <f t="shared" si="1416"/>
        <v>6.391</v>
      </c>
      <c r="O767" s="268">
        <f t="shared" si="1417"/>
        <v>383.46</v>
      </c>
      <c r="P767" s="23">
        <f t="shared" si="1418"/>
        <v>104.86</v>
      </c>
      <c r="Q767" s="268">
        <f t="shared" si="1419"/>
        <v>1153.46</v>
      </c>
      <c r="R767" s="118"/>
    </row>
    <row r="768" spans="1:18" x14ac:dyDescent="0.35">
      <c r="A768" s="67" t="str">
        <f>IF(TRIM(G768)&lt;&gt;"",COUNTA(G$11:$G768)&amp;"","")</f>
        <v>488</v>
      </c>
      <c r="B768" s="311"/>
      <c r="C768" s="311"/>
      <c r="D768" s="233"/>
      <c r="E768" s="210" t="s">
        <v>349</v>
      </c>
      <c r="F768" s="230">
        <v>14</v>
      </c>
      <c r="G768" s="70" t="s">
        <v>211</v>
      </c>
      <c r="H768" s="21">
        <f t="shared" si="1420"/>
        <v>0</v>
      </c>
      <c r="I768" s="47">
        <f t="shared" si="1421"/>
        <v>14</v>
      </c>
      <c r="J768" s="265">
        <v>72</v>
      </c>
      <c r="K768" s="268">
        <f t="shared" si="1413"/>
        <v>1008</v>
      </c>
      <c r="L768" s="258">
        <f t="shared" si="1414"/>
        <v>60</v>
      </c>
      <c r="M768" s="282">
        <v>0.59760000000000002</v>
      </c>
      <c r="N768" s="22">
        <f t="shared" si="1416"/>
        <v>8.3664000000000005</v>
      </c>
      <c r="O768" s="268">
        <f t="shared" si="1417"/>
        <v>501.98400000000004</v>
      </c>
      <c r="P768" s="23">
        <f t="shared" si="1418"/>
        <v>107.85599999999999</v>
      </c>
      <c r="Q768" s="268">
        <f t="shared" si="1419"/>
        <v>1509.9839999999999</v>
      </c>
      <c r="R768" s="118"/>
    </row>
    <row r="769" spans="1:18" x14ac:dyDescent="0.35">
      <c r="A769" s="67" t="str">
        <f>IF(TRIM(G769)&lt;&gt;"",COUNTA(G$11:$G769)&amp;"","")</f>
        <v>489</v>
      </c>
      <c r="B769" s="311"/>
      <c r="C769" s="311"/>
      <c r="D769" s="233"/>
      <c r="E769" s="210" t="s">
        <v>350</v>
      </c>
      <c r="F769" s="230">
        <v>3</v>
      </c>
      <c r="G769" s="70" t="s">
        <v>211</v>
      </c>
      <c r="H769" s="21">
        <f t="shared" si="1420"/>
        <v>0</v>
      </c>
      <c r="I769" s="47">
        <f t="shared" si="1421"/>
        <v>3</v>
      </c>
      <c r="J769" s="265">
        <v>256</v>
      </c>
      <c r="K769" s="268">
        <f t="shared" si="1413"/>
        <v>768</v>
      </c>
      <c r="L769" s="258">
        <f t="shared" si="1414"/>
        <v>60</v>
      </c>
      <c r="M769" s="282">
        <v>2.1248</v>
      </c>
      <c r="N769" s="22">
        <f t="shared" si="1416"/>
        <v>6.3743999999999996</v>
      </c>
      <c r="O769" s="268">
        <f t="shared" si="1417"/>
        <v>382.464</v>
      </c>
      <c r="P769" s="23">
        <f t="shared" si="1418"/>
        <v>383.488</v>
      </c>
      <c r="Q769" s="268">
        <f t="shared" si="1419"/>
        <v>1150.4639999999999</v>
      </c>
      <c r="R769" s="118"/>
    </row>
    <row r="770" spans="1:18" x14ac:dyDescent="0.35">
      <c r="A770" s="67" t="str">
        <f>IF(TRIM(G770)&lt;&gt;"",COUNTA(G$11:$G770)&amp;"","")</f>
        <v>490</v>
      </c>
      <c r="B770" s="311"/>
      <c r="C770" s="311"/>
      <c r="D770" s="233"/>
      <c r="E770" s="60" t="s">
        <v>351</v>
      </c>
      <c r="F770" s="230">
        <v>58.24</v>
      </c>
      <c r="G770" s="70" t="s">
        <v>177</v>
      </c>
      <c r="H770" s="21">
        <v>0.1</v>
      </c>
      <c r="I770" s="47">
        <f t="shared" si="1421"/>
        <v>64.064000000000007</v>
      </c>
      <c r="J770" s="265">
        <v>12</v>
      </c>
      <c r="K770" s="268">
        <f t="shared" si="1413"/>
        <v>768.76800000000003</v>
      </c>
      <c r="L770" s="258">
        <f t="shared" si="1414"/>
        <v>60</v>
      </c>
      <c r="M770" s="282">
        <v>9.9599999999999994E-2</v>
      </c>
      <c r="N770" s="22">
        <f t="shared" si="1416"/>
        <v>6.3807744</v>
      </c>
      <c r="O770" s="268">
        <f t="shared" si="1417"/>
        <v>382.84646399999997</v>
      </c>
      <c r="P770" s="23">
        <f t="shared" si="1418"/>
        <v>17.975999999999999</v>
      </c>
      <c r="Q770" s="268">
        <f t="shared" si="1419"/>
        <v>1151.614464</v>
      </c>
      <c r="R770" s="118"/>
    </row>
    <row r="771" spans="1:18" x14ac:dyDescent="0.35">
      <c r="A771" s="67" t="str">
        <f>IF(TRIM(G771)&lt;&gt;"",COUNTA(G$11:$G771)&amp;"","")</f>
        <v/>
      </c>
      <c r="B771" s="311"/>
      <c r="C771" s="311"/>
      <c r="D771" s="233"/>
      <c r="E771" s="60"/>
      <c r="F771" s="230"/>
      <c r="G771" s="70"/>
      <c r="H771" s="21"/>
      <c r="I771" s="47"/>
      <c r="J771" s="265"/>
      <c r="K771" s="268"/>
      <c r="L771" s="258"/>
      <c r="M771" s="282"/>
      <c r="N771" s="22"/>
      <c r="O771" s="268"/>
      <c r="P771" s="23"/>
      <c r="Q771" s="268"/>
      <c r="R771" s="118"/>
    </row>
    <row r="772" spans="1:18" x14ac:dyDescent="0.35">
      <c r="A772" s="67" t="str">
        <f>IF(TRIM(G772)&lt;&gt;"",COUNTA(G$11:$G772)&amp;"","")</f>
        <v/>
      </c>
      <c r="B772" s="311"/>
      <c r="C772" s="311"/>
      <c r="D772" s="233"/>
      <c r="E772" s="231" t="s">
        <v>362</v>
      </c>
      <c r="F772" s="230"/>
      <c r="G772" s="70"/>
      <c r="H772" s="21" t="str">
        <f t="shared" si="1420"/>
        <v/>
      </c>
      <c r="I772" s="47" t="str">
        <f t="shared" si="1421"/>
        <v/>
      </c>
      <c r="J772" s="265" t="str">
        <f t="shared" ref="J772" si="1422">IF(F772=0,"",0)</f>
        <v/>
      </c>
      <c r="K772" s="268" t="str">
        <f t="shared" si="1413"/>
        <v/>
      </c>
      <c r="L772" s="258" t="str">
        <f>IF(F772=0,"",L$764)</f>
        <v/>
      </c>
      <c r="M772" s="282"/>
      <c r="N772" s="22" t="str">
        <f t="shared" si="1416"/>
        <v/>
      </c>
      <c r="O772" s="268" t="str">
        <f t="shared" si="1417"/>
        <v/>
      </c>
      <c r="P772" s="23" t="str">
        <f t="shared" si="1418"/>
        <v/>
      </c>
      <c r="Q772" s="268" t="str">
        <f t="shared" si="1419"/>
        <v/>
      </c>
      <c r="R772" s="118"/>
    </row>
    <row r="773" spans="1:18" x14ac:dyDescent="0.35">
      <c r="A773" s="67" t="str">
        <f>IF(TRIM(G773)&lt;&gt;"",COUNTA(G$11:$G773)&amp;"","")</f>
        <v>491</v>
      </c>
      <c r="B773" s="311"/>
      <c r="C773" s="311"/>
      <c r="D773" s="233"/>
      <c r="E773" s="210" t="s">
        <v>352</v>
      </c>
      <c r="F773" s="230">
        <v>1</v>
      </c>
      <c r="G773" s="70" t="s">
        <v>211</v>
      </c>
      <c r="H773" s="21">
        <f t="shared" si="1420"/>
        <v>0</v>
      </c>
      <c r="I773" s="47">
        <f t="shared" si="1421"/>
        <v>1</v>
      </c>
      <c r="J773" s="265">
        <v>18</v>
      </c>
      <c r="K773" s="268">
        <f t="shared" si="1413"/>
        <v>18</v>
      </c>
      <c r="L773" s="258">
        <f>IF(F773=0,"",L$764)</f>
        <v>60</v>
      </c>
      <c r="M773" s="282">
        <v>0.21199999999999999</v>
      </c>
      <c r="N773" s="22">
        <f t="shared" si="1416"/>
        <v>0.21199999999999999</v>
      </c>
      <c r="O773" s="268">
        <f t="shared" si="1417"/>
        <v>12.719999999999999</v>
      </c>
      <c r="P773" s="23">
        <f t="shared" si="1418"/>
        <v>30.72</v>
      </c>
      <c r="Q773" s="268">
        <f t="shared" si="1419"/>
        <v>30.72</v>
      </c>
      <c r="R773" s="118"/>
    </row>
    <row r="774" spans="1:18" x14ac:dyDescent="0.35">
      <c r="A774" s="67" t="str">
        <f>IF(TRIM(G774)&lt;&gt;"",COUNTA(G$11:$G774)&amp;"","")</f>
        <v>492</v>
      </c>
      <c r="B774" s="311"/>
      <c r="C774" s="311"/>
      <c r="D774" s="233"/>
      <c r="E774" s="210" t="s">
        <v>353</v>
      </c>
      <c r="F774" s="230">
        <v>2</v>
      </c>
      <c r="G774" s="70" t="s">
        <v>211</v>
      </c>
      <c r="H774" s="21">
        <f t="shared" ref="H774:H776" si="1423">IF(F774=0,"",0)</f>
        <v>0</v>
      </c>
      <c r="I774" s="47">
        <f t="shared" ref="I774:I776" si="1424">IF(F774=0,"",F774+(F774*H774))</f>
        <v>2</v>
      </c>
      <c r="J774" s="265">
        <v>15</v>
      </c>
      <c r="K774" s="268">
        <f t="shared" ref="K774:K776" si="1425">IF(F774=0,"",J774*I774)</f>
        <v>30</v>
      </c>
      <c r="L774" s="258">
        <f t="shared" ref="L774:L776" si="1426">IF(F774=0,"",L$764)</f>
        <v>60</v>
      </c>
      <c r="M774" s="282">
        <v>0.2</v>
      </c>
      <c r="N774" s="22">
        <f t="shared" ref="N774:N776" si="1427">IF(F774=0,"",M774*I774)</f>
        <v>0.4</v>
      </c>
      <c r="O774" s="268">
        <f t="shared" ref="O774:O776" si="1428">IF(F774=0,"",N774*L774)</f>
        <v>24</v>
      </c>
      <c r="P774" s="23">
        <f t="shared" ref="P774:P776" si="1429">IF(F774=0,"",(K774+O774)/I774)</f>
        <v>27</v>
      </c>
      <c r="Q774" s="268">
        <f t="shared" ref="Q774:Q776" si="1430">IF(F774=0,"",(P774*I774))</f>
        <v>54</v>
      </c>
      <c r="R774" s="118"/>
    </row>
    <row r="775" spans="1:18" x14ac:dyDescent="0.35">
      <c r="A775" s="67" t="str">
        <f>IF(TRIM(G775)&lt;&gt;"",COUNTA(G$11:$G775)&amp;"","")</f>
        <v>493</v>
      </c>
      <c r="B775" s="311"/>
      <c r="C775" s="311"/>
      <c r="D775" s="233"/>
      <c r="E775" s="210" t="s">
        <v>354</v>
      </c>
      <c r="F775" s="230">
        <v>1</v>
      </c>
      <c r="G775" s="70" t="s">
        <v>211</v>
      </c>
      <c r="H775" s="21">
        <f t="shared" si="1423"/>
        <v>0</v>
      </c>
      <c r="I775" s="47">
        <f t="shared" si="1424"/>
        <v>1</v>
      </c>
      <c r="J775" s="265">
        <v>20</v>
      </c>
      <c r="K775" s="268">
        <f t="shared" si="1425"/>
        <v>20</v>
      </c>
      <c r="L775" s="258">
        <f t="shared" si="1426"/>
        <v>60</v>
      </c>
      <c r="M775" s="282">
        <v>0.21199999999999999</v>
      </c>
      <c r="N775" s="22">
        <f t="shared" si="1427"/>
        <v>0.21199999999999999</v>
      </c>
      <c r="O775" s="268">
        <f t="shared" si="1428"/>
        <v>12.719999999999999</v>
      </c>
      <c r="P775" s="23">
        <f t="shared" si="1429"/>
        <v>32.72</v>
      </c>
      <c r="Q775" s="268">
        <f t="shared" si="1430"/>
        <v>32.72</v>
      </c>
      <c r="R775" s="118"/>
    </row>
    <row r="776" spans="1:18" x14ac:dyDescent="0.35">
      <c r="A776" s="67" t="str">
        <f>IF(TRIM(G776)&lt;&gt;"",COUNTA(G$11:$G776)&amp;"","")</f>
        <v>494</v>
      </c>
      <c r="B776" s="311"/>
      <c r="C776" s="311"/>
      <c r="D776" s="233"/>
      <c r="E776" s="210" t="s">
        <v>355</v>
      </c>
      <c r="F776" s="230">
        <v>1</v>
      </c>
      <c r="G776" s="70" t="s">
        <v>211</v>
      </c>
      <c r="H776" s="21">
        <f t="shared" si="1423"/>
        <v>0</v>
      </c>
      <c r="I776" s="47">
        <f t="shared" si="1424"/>
        <v>1</v>
      </c>
      <c r="J776" s="265">
        <v>85</v>
      </c>
      <c r="K776" s="268">
        <f t="shared" si="1425"/>
        <v>85</v>
      </c>
      <c r="L776" s="258">
        <f t="shared" si="1426"/>
        <v>60</v>
      </c>
      <c r="M776" s="282">
        <v>0.75</v>
      </c>
      <c r="N776" s="22">
        <f t="shared" si="1427"/>
        <v>0.75</v>
      </c>
      <c r="O776" s="268">
        <f t="shared" si="1428"/>
        <v>45</v>
      </c>
      <c r="P776" s="23">
        <f t="shared" si="1429"/>
        <v>130</v>
      </c>
      <c r="Q776" s="268">
        <f t="shared" si="1430"/>
        <v>130</v>
      </c>
      <c r="R776" s="118"/>
    </row>
    <row r="777" spans="1:18" x14ac:dyDescent="0.35">
      <c r="A777" s="67" t="str">
        <f>IF(TRIM(G777)&lt;&gt;"",COUNTA(G$11:$G777)&amp;"","")</f>
        <v/>
      </c>
      <c r="B777" s="311"/>
      <c r="C777" s="311"/>
      <c r="D777" s="233"/>
      <c r="E777" s="210"/>
      <c r="F777" s="230"/>
      <c r="G777" s="70"/>
      <c r="H777" s="21"/>
      <c r="I777" s="47"/>
      <c r="J777" s="265"/>
      <c r="K777" s="268"/>
      <c r="L777" s="258"/>
      <c r="M777" s="282"/>
      <c r="N777" s="22"/>
      <c r="O777" s="268"/>
      <c r="P777" s="23"/>
      <c r="Q777" s="268"/>
      <c r="R777" s="118"/>
    </row>
    <row r="778" spans="1:18" x14ac:dyDescent="0.35">
      <c r="A778" s="67" t="str">
        <f>IF(TRIM(G778)&lt;&gt;"",COUNTA(G$11:$G778)&amp;"","")</f>
        <v/>
      </c>
      <c r="B778" s="311"/>
      <c r="C778" s="311"/>
      <c r="D778" s="233"/>
      <c r="E778" s="231" t="s">
        <v>363</v>
      </c>
      <c r="F778" s="230"/>
      <c r="G778" s="70"/>
      <c r="H778" s="21"/>
      <c r="I778" s="47"/>
      <c r="J778" s="265"/>
      <c r="K778" s="268"/>
      <c r="L778" s="258"/>
      <c r="M778" s="282"/>
      <c r="N778" s="22"/>
      <c r="O778" s="268"/>
      <c r="P778" s="23"/>
      <c r="Q778" s="268"/>
      <c r="R778" s="118"/>
    </row>
    <row r="779" spans="1:18" x14ac:dyDescent="0.35">
      <c r="A779" s="67" t="str">
        <f>IF(TRIM(G779)&lt;&gt;"",COUNTA(G$11:$G779)&amp;"","")</f>
        <v>495</v>
      </c>
      <c r="B779" s="311"/>
      <c r="C779" s="311"/>
      <c r="D779" s="233"/>
      <c r="E779" s="210" t="s">
        <v>356</v>
      </c>
      <c r="F779" s="230">
        <v>10</v>
      </c>
      <c r="G779" s="70" t="s">
        <v>211</v>
      </c>
      <c r="H779" s="21">
        <f t="shared" ref="H779" si="1431">IF(F779=0,"",0)</f>
        <v>0</v>
      </c>
      <c r="I779" s="47">
        <f t="shared" ref="I779" si="1432">IF(F779=0,"",F779+(F779*H779))</f>
        <v>10</v>
      </c>
      <c r="J779" s="265">
        <v>12</v>
      </c>
      <c r="K779" s="268">
        <f t="shared" ref="K779" si="1433">IF(F779=0,"",J779*I779)</f>
        <v>120</v>
      </c>
      <c r="L779" s="258">
        <f t="shared" ref="L779" si="1434">IF(F779=0,"",L$764)</f>
        <v>60</v>
      </c>
      <c r="M779" s="282">
        <v>0.21199999999999999</v>
      </c>
      <c r="N779" s="22">
        <f t="shared" ref="N779" si="1435">IF(F779=0,"",M779*I779)</f>
        <v>2.12</v>
      </c>
      <c r="O779" s="268">
        <f t="shared" ref="O779" si="1436">IF(F779=0,"",N779*L779)</f>
        <v>127.2</v>
      </c>
      <c r="P779" s="23">
        <f t="shared" ref="P779" si="1437">IF(F779=0,"",(K779+O779)/I779)</f>
        <v>24.72</v>
      </c>
      <c r="Q779" s="268">
        <f t="shared" ref="Q779" si="1438">IF(F779=0,"",(P779*I779))</f>
        <v>247.2</v>
      </c>
      <c r="R779" s="118"/>
    </row>
    <row r="780" spans="1:18" x14ac:dyDescent="0.35">
      <c r="A780" s="67" t="str">
        <f>IF(TRIM(G780)&lt;&gt;"",COUNTA(G$11:$G780)&amp;"","")</f>
        <v/>
      </c>
      <c r="B780" s="311"/>
      <c r="C780" s="311"/>
      <c r="D780" s="233"/>
      <c r="E780" s="210"/>
      <c r="F780" s="230"/>
      <c r="G780" s="70"/>
      <c r="H780" s="21"/>
      <c r="I780" s="47"/>
      <c r="J780" s="265"/>
      <c r="K780" s="268"/>
      <c r="L780" s="258"/>
      <c r="M780" s="282"/>
      <c r="N780" s="22"/>
      <c r="O780" s="268"/>
      <c r="P780" s="23"/>
      <c r="Q780" s="268"/>
      <c r="R780" s="118"/>
    </row>
    <row r="781" spans="1:18" x14ac:dyDescent="0.35">
      <c r="A781" s="67" t="str">
        <f>IF(TRIM(G781)&lt;&gt;"",COUNTA(G$11:$G781)&amp;"","")</f>
        <v/>
      </c>
      <c r="B781" s="311"/>
      <c r="C781" s="311"/>
      <c r="D781" s="233"/>
      <c r="E781" s="231" t="s">
        <v>364</v>
      </c>
      <c r="F781" s="230"/>
      <c r="G781" s="70"/>
      <c r="H781" s="21"/>
      <c r="I781" s="47"/>
      <c r="J781" s="265"/>
      <c r="K781" s="268"/>
      <c r="L781" s="258"/>
      <c r="M781" s="282"/>
      <c r="N781" s="22"/>
      <c r="O781" s="268"/>
      <c r="P781" s="23"/>
      <c r="Q781" s="268"/>
      <c r="R781" s="118"/>
    </row>
    <row r="782" spans="1:18" x14ac:dyDescent="0.35">
      <c r="A782" s="67" t="str">
        <f>IF(TRIM(G782)&lt;&gt;"",COUNTA(G$11:$G782)&amp;"","")</f>
        <v>496</v>
      </c>
      <c r="B782" s="311"/>
      <c r="C782" s="311"/>
      <c r="D782" s="233"/>
      <c r="E782" s="210" t="s">
        <v>357</v>
      </c>
      <c r="F782" s="230">
        <v>1</v>
      </c>
      <c r="G782" s="70" t="s">
        <v>211</v>
      </c>
      <c r="H782" s="21">
        <f t="shared" ref="H782:H783" si="1439">IF(F782=0,"",0)</f>
        <v>0</v>
      </c>
      <c r="I782" s="47">
        <f t="shared" ref="I782:I783" si="1440">IF(F782=0,"",F782+(F782*H782))</f>
        <v>1</v>
      </c>
      <c r="J782" s="265">
        <v>1200</v>
      </c>
      <c r="K782" s="268">
        <f t="shared" ref="K782:K783" si="1441">IF(F782=0,"",J782*I782)</f>
        <v>1200</v>
      </c>
      <c r="L782" s="258">
        <f t="shared" ref="L782:L783" si="1442">IF(F782=0,"",L$764)</f>
        <v>60</v>
      </c>
      <c r="M782" s="282">
        <v>4.12</v>
      </c>
      <c r="N782" s="22">
        <f t="shared" ref="N782:N783" si="1443">IF(F782=0,"",M782*I782)</f>
        <v>4.12</v>
      </c>
      <c r="O782" s="268">
        <f t="shared" ref="O782:O783" si="1444">IF(F782=0,"",N782*L782)</f>
        <v>247.20000000000002</v>
      </c>
      <c r="P782" s="23">
        <f t="shared" ref="P782:P783" si="1445">IF(F782=0,"",(K782+O782)/I782)</f>
        <v>1447.2</v>
      </c>
      <c r="Q782" s="268">
        <f t="shared" ref="Q782:Q783" si="1446">IF(F782=0,"",(P782*I782))</f>
        <v>1447.2</v>
      </c>
      <c r="R782" s="118"/>
    </row>
    <row r="783" spans="1:18" x14ac:dyDescent="0.35">
      <c r="A783" s="67" t="str">
        <f>IF(TRIM(G783)&lt;&gt;"",COUNTA(G$11:$G783)&amp;"","")</f>
        <v>497</v>
      </c>
      <c r="B783" s="311"/>
      <c r="C783" s="311"/>
      <c r="D783" s="233"/>
      <c r="E783" s="210" t="s">
        <v>358</v>
      </c>
      <c r="F783" s="230">
        <v>1</v>
      </c>
      <c r="G783" s="70" t="s">
        <v>211</v>
      </c>
      <c r="H783" s="21">
        <f t="shared" si="1439"/>
        <v>0</v>
      </c>
      <c r="I783" s="47">
        <f t="shared" si="1440"/>
        <v>1</v>
      </c>
      <c r="J783" s="265">
        <v>350</v>
      </c>
      <c r="K783" s="268">
        <f t="shared" si="1441"/>
        <v>350</v>
      </c>
      <c r="L783" s="258">
        <f t="shared" si="1442"/>
        <v>60</v>
      </c>
      <c r="M783" s="282">
        <v>2.56</v>
      </c>
      <c r="N783" s="22">
        <f t="shared" si="1443"/>
        <v>2.56</v>
      </c>
      <c r="O783" s="268">
        <f t="shared" si="1444"/>
        <v>153.6</v>
      </c>
      <c r="P783" s="23">
        <f t="shared" si="1445"/>
        <v>503.6</v>
      </c>
      <c r="Q783" s="268">
        <f t="shared" si="1446"/>
        <v>503.6</v>
      </c>
      <c r="R783" s="118"/>
    </row>
    <row r="784" spans="1:18" x14ac:dyDescent="0.35">
      <c r="A784" s="67" t="str">
        <f>IF(TRIM(G784)&lt;&gt;"",COUNTA(G$11:$G784)&amp;"","")</f>
        <v/>
      </c>
      <c r="B784" s="311"/>
      <c r="C784" s="311"/>
      <c r="D784" s="233"/>
      <c r="E784" s="210"/>
      <c r="F784" s="230"/>
      <c r="G784" s="70"/>
      <c r="H784" s="21"/>
      <c r="I784" s="47"/>
      <c r="J784" s="265"/>
      <c r="K784" s="268"/>
      <c r="L784" s="258"/>
      <c r="M784" s="282"/>
      <c r="N784" s="22"/>
      <c r="O784" s="268"/>
      <c r="P784" s="23"/>
      <c r="Q784" s="268"/>
      <c r="R784" s="118"/>
    </row>
    <row r="785" spans="1:18" x14ac:dyDescent="0.35">
      <c r="A785" s="67" t="str">
        <f>IF(TRIM(G785)&lt;&gt;"",COUNTA(G$11:$G785)&amp;"","")</f>
        <v/>
      </c>
      <c r="B785" s="311"/>
      <c r="C785" s="311"/>
      <c r="D785" s="233"/>
      <c r="E785" s="231" t="s">
        <v>365</v>
      </c>
      <c r="F785" s="230"/>
      <c r="G785" s="70"/>
      <c r="H785" s="21" t="str">
        <f t="shared" ref="H785:H787" si="1447">IF(F785=0,"",0)</f>
        <v/>
      </c>
      <c r="I785" s="47" t="str">
        <f t="shared" ref="I785:I787" si="1448">IF(F785=0,"",F785+(F785*H785))</f>
        <v/>
      </c>
      <c r="J785" s="265" t="str">
        <f t="shared" ref="J785" si="1449">IF(F785=0,"",0)</f>
        <v/>
      </c>
      <c r="K785" s="268" t="str">
        <f t="shared" ref="K785:K787" si="1450">IF(F785=0,"",J785*I785)</f>
        <v/>
      </c>
      <c r="L785" s="258" t="str">
        <f t="shared" ref="L785:L787" si="1451">IF(F785=0,"",L$764)</f>
        <v/>
      </c>
      <c r="M785" s="282"/>
      <c r="N785" s="22" t="str">
        <f t="shared" ref="N785:N787" si="1452">IF(F785=0,"",M785*I785)</f>
        <v/>
      </c>
      <c r="O785" s="268" t="str">
        <f t="shared" ref="O785:O787" si="1453">IF(F785=0,"",N785*L785)</f>
        <v/>
      </c>
      <c r="P785" s="23" t="str">
        <f t="shared" ref="P785:P787" si="1454">IF(F785=0,"",(K785+O785)/I785)</f>
        <v/>
      </c>
      <c r="Q785" s="268" t="str">
        <f t="shared" ref="Q785:Q787" si="1455">IF(F785=0,"",(P785*I785))</f>
        <v/>
      </c>
      <c r="R785" s="118"/>
    </row>
    <row r="786" spans="1:18" x14ac:dyDescent="0.35">
      <c r="A786" s="67" t="str">
        <f>IF(TRIM(G786)&lt;&gt;"",COUNTA(G$11:$G786)&amp;"","")</f>
        <v>498</v>
      </c>
      <c r="B786" s="311"/>
      <c r="C786" s="311"/>
      <c r="D786" s="233"/>
      <c r="E786" s="210" t="s">
        <v>359</v>
      </c>
      <c r="F786" s="230">
        <v>1</v>
      </c>
      <c r="G786" s="70" t="s">
        <v>211</v>
      </c>
      <c r="H786" s="21">
        <f t="shared" si="1447"/>
        <v>0</v>
      </c>
      <c r="I786" s="47">
        <f t="shared" si="1448"/>
        <v>1</v>
      </c>
      <c r="J786" s="265">
        <v>28</v>
      </c>
      <c r="K786" s="268">
        <f t="shared" si="1450"/>
        <v>28</v>
      </c>
      <c r="L786" s="258">
        <f t="shared" si="1451"/>
        <v>60</v>
      </c>
      <c r="M786" s="282">
        <v>0.21199999999999999</v>
      </c>
      <c r="N786" s="22">
        <f t="shared" si="1452"/>
        <v>0.21199999999999999</v>
      </c>
      <c r="O786" s="268">
        <f t="shared" si="1453"/>
        <v>12.719999999999999</v>
      </c>
      <c r="P786" s="23">
        <f t="shared" si="1454"/>
        <v>40.72</v>
      </c>
      <c r="Q786" s="268">
        <f t="shared" si="1455"/>
        <v>40.72</v>
      </c>
      <c r="R786" s="118"/>
    </row>
    <row r="787" spans="1:18" x14ac:dyDescent="0.35">
      <c r="A787" s="67" t="str">
        <f>IF(TRIM(G787)&lt;&gt;"",COUNTA(G$11:$G787)&amp;"","")</f>
        <v>499</v>
      </c>
      <c r="B787" s="311"/>
      <c r="C787" s="311"/>
      <c r="D787" s="233"/>
      <c r="E787" s="210" t="s">
        <v>360</v>
      </c>
      <c r="F787" s="230">
        <v>1</v>
      </c>
      <c r="G787" s="70" t="s">
        <v>211</v>
      </c>
      <c r="H787" s="21">
        <f t="shared" si="1447"/>
        <v>0</v>
      </c>
      <c r="I787" s="47">
        <f t="shared" si="1448"/>
        <v>1</v>
      </c>
      <c r="J787" s="265">
        <v>28</v>
      </c>
      <c r="K787" s="268">
        <f t="shared" si="1450"/>
        <v>28</v>
      </c>
      <c r="L787" s="258">
        <f t="shared" si="1451"/>
        <v>60</v>
      </c>
      <c r="M787" s="282">
        <v>0.21199999999999999</v>
      </c>
      <c r="N787" s="22">
        <f t="shared" si="1452"/>
        <v>0.21199999999999999</v>
      </c>
      <c r="O787" s="268">
        <f t="shared" si="1453"/>
        <v>12.719999999999999</v>
      </c>
      <c r="P787" s="23">
        <f t="shared" si="1454"/>
        <v>40.72</v>
      </c>
      <c r="Q787" s="268">
        <f t="shared" si="1455"/>
        <v>40.72</v>
      </c>
      <c r="R787" s="118"/>
    </row>
    <row r="788" spans="1:18" x14ac:dyDescent="0.35">
      <c r="A788" s="67" t="str">
        <f>IF(TRIM(G788)&lt;&gt;"",COUNTA(G$11:$G788)&amp;"","")</f>
        <v/>
      </c>
      <c r="B788" s="311"/>
      <c r="C788" s="311"/>
      <c r="D788" s="233"/>
      <c r="E788" s="210"/>
      <c r="F788" s="230"/>
      <c r="G788" s="70"/>
      <c r="H788" s="21" t="str">
        <f t="shared" ref="H788:H789" si="1456">IF(F788=0,"",0)</f>
        <v/>
      </c>
      <c r="I788" s="47" t="str">
        <f t="shared" ref="I788:I790" si="1457">IF(F788=0,"",F788+(F788*H788))</f>
        <v/>
      </c>
      <c r="J788" s="265" t="str">
        <f t="shared" ref="J788:J789" si="1458">IF(F788=0,"",0)</f>
        <v/>
      </c>
      <c r="K788" s="268" t="str">
        <f t="shared" si="1413"/>
        <v/>
      </c>
      <c r="L788" s="258" t="str">
        <f>IF(F788=0,"",L$764)</f>
        <v/>
      </c>
      <c r="M788" s="282"/>
      <c r="N788" s="22" t="str">
        <f t="shared" si="1416"/>
        <v/>
      </c>
      <c r="O788" s="268" t="str">
        <f t="shared" si="1417"/>
        <v/>
      </c>
      <c r="P788" s="23" t="str">
        <f t="shared" si="1418"/>
        <v/>
      </c>
      <c r="Q788" s="268" t="str">
        <f t="shared" si="1419"/>
        <v/>
      </c>
      <c r="R788" s="118"/>
    </row>
    <row r="789" spans="1:18" ht="19.25" customHeight="1" x14ac:dyDescent="0.35">
      <c r="A789" s="67" t="str">
        <f>IF(TRIM(G789)&lt;&gt;"",COUNTA(G$11:$G789)&amp;"","")</f>
        <v/>
      </c>
      <c r="B789" s="311"/>
      <c r="C789" s="311"/>
      <c r="D789" s="233"/>
      <c r="E789" s="231" t="s">
        <v>216</v>
      </c>
      <c r="F789" s="230"/>
      <c r="G789" s="70"/>
      <c r="H789" s="21" t="str">
        <f t="shared" si="1456"/>
        <v/>
      </c>
      <c r="I789" s="47" t="str">
        <f t="shared" si="1457"/>
        <v/>
      </c>
      <c r="J789" s="265" t="str">
        <f t="shared" si="1458"/>
        <v/>
      </c>
      <c r="K789" s="268" t="str">
        <f t="shared" si="1413"/>
        <v/>
      </c>
      <c r="L789" s="258" t="str">
        <f>IF(F789=0,"",L$764)</f>
        <v/>
      </c>
      <c r="M789" s="282"/>
      <c r="N789" s="22" t="str">
        <f t="shared" si="1416"/>
        <v/>
      </c>
      <c r="O789" s="268" t="str">
        <f t="shared" si="1417"/>
        <v/>
      </c>
      <c r="P789" s="23" t="str">
        <f t="shared" si="1418"/>
        <v/>
      </c>
      <c r="Q789" s="268" t="str">
        <f t="shared" si="1419"/>
        <v/>
      </c>
      <c r="R789" s="118"/>
    </row>
    <row r="790" spans="1:18" x14ac:dyDescent="0.35">
      <c r="A790" s="67" t="str">
        <f>IF(TRIM(G790)&lt;&gt;"",COUNTA(G$11:$G790)&amp;"","")</f>
        <v>500</v>
      </c>
      <c r="B790" s="312"/>
      <c r="C790" s="312"/>
      <c r="D790" s="30"/>
      <c r="E790" s="52" t="s">
        <v>601</v>
      </c>
      <c r="F790" s="69">
        <v>1120</v>
      </c>
      <c r="G790" s="70" t="s">
        <v>163</v>
      </c>
      <c r="H790" s="21">
        <v>0.1</v>
      </c>
      <c r="I790" s="47">
        <f t="shared" si="1457"/>
        <v>1232</v>
      </c>
      <c r="J790" s="265">
        <v>2.5</v>
      </c>
      <c r="K790" s="268">
        <f t="shared" si="1413"/>
        <v>3080</v>
      </c>
      <c r="L790" s="258">
        <f>IF(F790=0,"",L$764)</f>
        <v>60</v>
      </c>
      <c r="M790" s="282">
        <v>1.4999999999999999E-2</v>
      </c>
      <c r="N790" s="22">
        <f t="shared" si="1416"/>
        <v>18.48</v>
      </c>
      <c r="O790" s="268">
        <f t="shared" si="1417"/>
        <v>1108.8</v>
      </c>
      <c r="P790" s="23">
        <f t="shared" si="1418"/>
        <v>3.4000000000000004</v>
      </c>
      <c r="Q790" s="268">
        <f t="shared" si="1419"/>
        <v>4188.8</v>
      </c>
      <c r="R790" s="118"/>
    </row>
    <row r="791" spans="1:18" ht="15" thickBot="1" x14ac:dyDescent="0.4">
      <c r="A791" s="67" t="str">
        <f>IF(TRIM(G791)&lt;&gt;"",COUNTA(G$11:$G791)&amp;"","")</f>
        <v/>
      </c>
      <c r="B791" s="71"/>
      <c r="C791" s="71"/>
      <c r="D791" s="30"/>
      <c r="E791" s="72"/>
      <c r="F791" s="69"/>
      <c r="G791" s="70"/>
      <c r="H791" s="21" t="str">
        <f t="shared" ref="H791" si="1459">IF(F791=0,"",0)</f>
        <v/>
      </c>
      <c r="I791" s="47" t="str">
        <f t="shared" ref="I791" si="1460">IF(F791=0,"",F791+(F791*H791))</f>
        <v/>
      </c>
      <c r="J791" s="265" t="str">
        <f t="shared" ref="J791" si="1461">IF(F791=0,"",0)</f>
        <v/>
      </c>
      <c r="K791" s="268" t="str">
        <f t="shared" ref="K791" si="1462">IF(F791=0,"",J791*I791)</f>
        <v/>
      </c>
      <c r="L791" s="258" t="str">
        <f>IF(F791=0,"",L$764)</f>
        <v/>
      </c>
      <c r="M791" s="282" t="str">
        <f t="shared" ref="M791" si="1463">IF(F791=0,"",0)</f>
        <v/>
      </c>
      <c r="N791" s="22" t="str">
        <f t="shared" ref="N791" si="1464">IF(F791=0,"",M791*I791)</f>
        <v/>
      </c>
      <c r="O791" s="268" t="str">
        <f t="shared" ref="O791" si="1465">IF(F791=0,"",N791*L791)</f>
        <v/>
      </c>
      <c r="P791" s="23" t="str">
        <f t="shared" si="1418"/>
        <v/>
      </c>
      <c r="Q791" s="268" t="str">
        <f t="shared" si="1419"/>
        <v/>
      </c>
      <c r="R791" s="118"/>
    </row>
    <row r="792" spans="1:18" s="2" customFormat="1" ht="16" thickBot="1" x14ac:dyDescent="0.4">
      <c r="A792" s="82" t="str">
        <f>IF(TRIM(G792)&lt;&gt;"",COUNTA(G$11:$G792)&amp;"","")</f>
        <v/>
      </c>
      <c r="B792" s="32"/>
      <c r="C792" s="32"/>
      <c r="D792" s="33"/>
      <c r="E792" s="18"/>
      <c r="F792" s="88"/>
      <c r="G792" s="89"/>
      <c r="H792" s="83" t="s">
        <v>12</v>
      </c>
      <c r="I792" s="84"/>
      <c r="J792" s="85">
        <f>SUM(K$765:K$791)</f>
        <v>9173.768</v>
      </c>
      <c r="K792" s="327" t="s">
        <v>13</v>
      </c>
      <c r="L792" s="328"/>
      <c r="M792" s="284">
        <f>SUM(O$765:O$791)</f>
        <v>3855.6344639999988</v>
      </c>
      <c r="N792" s="327" t="s">
        <v>42</v>
      </c>
      <c r="O792" s="328"/>
      <c r="P792" s="87">
        <f>SUM(N$765:N$791)</f>
        <v>64.26057440000001</v>
      </c>
      <c r="Q792" s="273" t="s">
        <v>205</v>
      </c>
      <c r="R792" s="41">
        <f>SUM(Q$765:Q$791)</f>
        <v>13029.402463999999</v>
      </c>
    </row>
    <row r="793" spans="1:18" ht="30" customHeight="1" thickBot="1" x14ac:dyDescent="0.4">
      <c r="A793" s="174" t="str">
        <f>IF(TRIM(G793)&lt;&gt;"",COUNTA(G$11:$G793)&amp;"","")</f>
        <v/>
      </c>
      <c r="B793" s="175"/>
      <c r="C793" s="176"/>
      <c r="D793" s="176"/>
      <c r="E793" s="194" t="s">
        <v>195</v>
      </c>
      <c r="F793" s="177"/>
      <c r="G793" s="177"/>
      <c r="H793" s="175"/>
      <c r="I793" s="177"/>
      <c r="J793" s="259"/>
      <c r="K793" s="259"/>
      <c r="L793" s="259"/>
      <c r="M793" s="286"/>
      <c r="N793" s="175"/>
      <c r="O793" s="259"/>
      <c r="P793" s="175"/>
      <c r="Q793" s="256"/>
      <c r="R793" s="187"/>
    </row>
    <row r="794" spans="1:18" ht="25" customHeight="1" thickBot="1" x14ac:dyDescent="0.4">
      <c r="A794" s="169" t="str">
        <f>IF(TRIM(G794)&lt;&gt;"",COUNTA(G$11:$G794)&amp;"","")</f>
        <v/>
      </c>
      <c r="B794" s="170"/>
      <c r="C794" s="171" t="s">
        <v>144</v>
      </c>
      <c r="D794" s="180" t="s">
        <v>66</v>
      </c>
      <c r="E794" s="180" t="s">
        <v>67</v>
      </c>
      <c r="F794" s="181"/>
      <c r="G794" s="172"/>
      <c r="H794" s="170"/>
      <c r="I794" s="172"/>
      <c r="J794" s="263"/>
      <c r="K794" s="263"/>
      <c r="L794" s="257">
        <v>54</v>
      </c>
      <c r="M794" s="280"/>
      <c r="N794" s="170"/>
      <c r="O794" s="263"/>
      <c r="P794" s="170"/>
      <c r="Q794" s="263"/>
      <c r="R794" s="173"/>
    </row>
    <row r="795" spans="1:18" s="17" customFormat="1" ht="19.25" customHeight="1" x14ac:dyDescent="0.35">
      <c r="A795" s="107" t="str">
        <f>IF(TRIM(G795)&lt;&gt;"",COUNTA(G$11:$G795)&amp;"","")</f>
        <v/>
      </c>
      <c r="B795" s="168"/>
      <c r="C795" s="168"/>
      <c r="D795" s="188" t="s">
        <v>115</v>
      </c>
      <c r="E795" s="189" t="s">
        <v>114</v>
      </c>
      <c r="F795" s="111"/>
      <c r="G795" s="112"/>
      <c r="H795" s="113" t="str">
        <f>IF(F795=0,"",0)</f>
        <v/>
      </c>
      <c r="I795" s="114" t="str">
        <f t="shared" ref="I795" si="1466">IF(F795=0,"",F795+(F795*H795))</f>
        <v/>
      </c>
      <c r="J795" s="264" t="str">
        <f>IF(F795=0,"",0)</f>
        <v/>
      </c>
      <c r="K795" s="258" t="str">
        <f>IF(F795=0,"",J795*I795)</f>
        <v/>
      </c>
      <c r="L795" s="258" t="str">
        <f>IF(F795=0,"",L$794)</f>
        <v/>
      </c>
      <c r="M795" s="281" t="str">
        <f>IF(F795=0,"",0)</f>
        <v/>
      </c>
      <c r="N795" s="115" t="str">
        <f>IF(F795=0,"",M795*I795)</f>
        <v/>
      </c>
      <c r="O795" s="258" t="str">
        <f>IF(F795=0,"",N795*L795)</f>
        <v/>
      </c>
      <c r="P795" s="116" t="str">
        <f t="shared" ref="P795" si="1467">IF(F795=0,"",(K795+O795)/I795)</f>
        <v/>
      </c>
      <c r="Q795" s="258" t="str">
        <f t="shared" ref="Q795" si="1468">IF(F795=0,"",(P795*I795))</f>
        <v/>
      </c>
      <c r="R795" s="179"/>
    </row>
    <row r="796" spans="1:18" x14ac:dyDescent="0.35">
      <c r="A796" s="67" t="str">
        <f>IF(TRIM(G796)&lt;&gt;"",COUNTA(G$11:$G796)&amp;"","")</f>
        <v>501</v>
      </c>
      <c r="B796" s="310" t="s">
        <v>629</v>
      </c>
      <c r="C796" s="310" t="s">
        <v>629</v>
      </c>
      <c r="D796" s="30"/>
      <c r="E796" s="65" t="s">
        <v>179</v>
      </c>
      <c r="F796" s="69">
        <v>7577.92</v>
      </c>
      <c r="G796" s="70" t="s">
        <v>163</v>
      </c>
      <c r="H796" s="21">
        <v>0.1</v>
      </c>
      <c r="I796" s="47">
        <f t="shared" ref="I796:I802" si="1469">IF(F796=0,"",F796+(F796*H796))</f>
        <v>8335.7119999999995</v>
      </c>
      <c r="J796" s="265">
        <f t="shared" ref="J796:J802" si="1470">IF(F796=0,"",0)</f>
        <v>0</v>
      </c>
      <c r="K796" s="268">
        <f t="shared" ref="K796:K802" si="1471">IF(F796=0,"",J796*I796)</f>
        <v>0</v>
      </c>
      <c r="L796" s="258">
        <f>IF(F796=0,"",L$794)</f>
        <v>54</v>
      </c>
      <c r="M796" s="282">
        <v>9.5999999999999992E-3</v>
      </c>
      <c r="N796" s="22">
        <f t="shared" ref="N796:N802" si="1472">IF(F796=0,"",M796*I796)</f>
        <v>80.022835199999989</v>
      </c>
      <c r="O796" s="268">
        <f t="shared" ref="O796:O802" si="1473">IF(F796=0,"",N796*L796)</f>
        <v>4321.2331007999992</v>
      </c>
      <c r="P796" s="23">
        <f t="shared" ref="P796:P802" si="1474">IF(F796=0,"",(K796+O796)/I796)</f>
        <v>0.51839999999999997</v>
      </c>
      <c r="Q796" s="268">
        <f t="shared" ref="Q796:Q802" si="1475">IF(F796=0,"",(P796*I796))</f>
        <v>4321.2331007999992</v>
      </c>
      <c r="R796" s="118"/>
    </row>
    <row r="797" spans="1:18" x14ac:dyDescent="0.35">
      <c r="A797" s="67" t="str">
        <f>IF(TRIM(G797)&lt;&gt;"",COUNTA(G$11:$G797)&amp;"","")</f>
        <v/>
      </c>
      <c r="B797" s="311"/>
      <c r="C797" s="311"/>
      <c r="D797" s="30"/>
      <c r="E797" s="52"/>
      <c r="F797" s="69"/>
      <c r="G797" s="70"/>
      <c r="H797" s="21" t="str">
        <f t="shared" ref="H797:H802" si="1476">IF(F797=0,"",0)</f>
        <v/>
      </c>
      <c r="I797" s="47" t="str">
        <f t="shared" si="1469"/>
        <v/>
      </c>
      <c r="J797" s="265" t="str">
        <f t="shared" si="1470"/>
        <v/>
      </c>
      <c r="K797" s="268" t="str">
        <f t="shared" si="1471"/>
        <v/>
      </c>
      <c r="L797" s="258" t="str">
        <f>IF(F797=0,"",L$794)</f>
        <v/>
      </c>
      <c r="M797" s="282" t="str">
        <f t="shared" ref="M797:M802" si="1477">IF(F797=0,"",0)</f>
        <v/>
      </c>
      <c r="N797" s="22" t="str">
        <f t="shared" si="1472"/>
        <v/>
      </c>
      <c r="O797" s="268" t="str">
        <f t="shared" si="1473"/>
        <v/>
      </c>
      <c r="P797" s="23" t="str">
        <f t="shared" si="1474"/>
        <v/>
      </c>
      <c r="Q797" s="268" t="str">
        <f t="shared" si="1475"/>
        <v/>
      </c>
      <c r="R797" s="118"/>
    </row>
    <row r="798" spans="1:18" s="17" customFormat="1" ht="19.25" customHeight="1" x14ac:dyDescent="0.35">
      <c r="A798" s="67" t="str">
        <f>IF(TRIM(G798)&lt;&gt;"",COUNTA(G$11:$G798)&amp;"","")</f>
        <v/>
      </c>
      <c r="B798" s="311"/>
      <c r="C798" s="311"/>
      <c r="D798" s="193" t="s">
        <v>117</v>
      </c>
      <c r="E798" s="191" t="s">
        <v>116</v>
      </c>
      <c r="F798" s="69"/>
      <c r="G798" s="70"/>
      <c r="H798" s="21" t="str">
        <f t="shared" si="1476"/>
        <v/>
      </c>
      <c r="I798" s="47" t="str">
        <f t="shared" si="1469"/>
        <v/>
      </c>
      <c r="J798" s="265" t="str">
        <f t="shared" si="1470"/>
        <v/>
      </c>
      <c r="K798" s="268" t="str">
        <f t="shared" si="1471"/>
        <v/>
      </c>
      <c r="L798" s="258" t="str">
        <f>IF(F798=0,"",L$794)</f>
        <v/>
      </c>
      <c r="M798" s="282" t="str">
        <f t="shared" si="1477"/>
        <v/>
      </c>
      <c r="N798" s="22" t="str">
        <f t="shared" si="1472"/>
        <v/>
      </c>
      <c r="O798" s="268" t="str">
        <f t="shared" si="1473"/>
        <v/>
      </c>
      <c r="P798" s="23" t="str">
        <f t="shared" si="1474"/>
        <v/>
      </c>
      <c r="Q798" s="268" t="str">
        <f t="shared" si="1475"/>
        <v/>
      </c>
      <c r="R798" s="120"/>
    </row>
    <row r="799" spans="1:18" x14ac:dyDescent="0.35">
      <c r="A799" s="67" t="str">
        <f>IF(TRIM(G799)&lt;&gt;"",COUNTA(G$11:$G799)&amp;"","")</f>
        <v/>
      </c>
      <c r="B799" s="311"/>
      <c r="C799" s="311"/>
      <c r="D799" s="30"/>
      <c r="E799" s="244" t="s">
        <v>376</v>
      </c>
      <c r="F799" s="69"/>
      <c r="G799" s="70"/>
      <c r="H799" s="21" t="str">
        <f t="shared" si="1476"/>
        <v/>
      </c>
      <c r="I799" s="47" t="str">
        <f t="shared" si="1469"/>
        <v/>
      </c>
      <c r="J799" s="265" t="str">
        <f t="shared" si="1470"/>
        <v/>
      </c>
      <c r="K799" s="268" t="str">
        <f t="shared" si="1471"/>
        <v/>
      </c>
      <c r="L799" s="258" t="str">
        <f>IF(F799=0,"",L$794)</f>
        <v/>
      </c>
      <c r="M799" s="282" t="str">
        <f t="shared" si="1477"/>
        <v/>
      </c>
      <c r="N799" s="22" t="str">
        <f t="shared" si="1472"/>
        <v/>
      </c>
      <c r="O799" s="268" t="str">
        <f t="shared" si="1473"/>
        <v/>
      </c>
      <c r="P799" s="23" t="str">
        <f t="shared" si="1474"/>
        <v/>
      </c>
      <c r="Q799" s="268" t="str">
        <f t="shared" si="1475"/>
        <v/>
      </c>
      <c r="R799" s="118"/>
    </row>
    <row r="800" spans="1:18" ht="58" x14ac:dyDescent="0.35">
      <c r="A800" s="67" t="str">
        <f>IF(TRIM(G800)&lt;&gt;"",COUNTA(G$11:$G800)&amp;"","")</f>
        <v>502</v>
      </c>
      <c r="B800" s="312"/>
      <c r="C800" s="312"/>
      <c r="D800" s="30"/>
      <c r="E800" s="52" t="s">
        <v>377</v>
      </c>
      <c r="F800" s="69">
        <v>357.33</v>
      </c>
      <c r="G800" s="70" t="s">
        <v>163</v>
      </c>
      <c r="H800" s="21">
        <v>0.1</v>
      </c>
      <c r="I800" s="47">
        <f t="shared" ref="I800:I801" si="1478">IF(F800=0,"",F800+(F800*H800))</f>
        <v>393.06299999999999</v>
      </c>
      <c r="J800" s="265">
        <v>4.5</v>
      </c>
      <c r="K800" s="268">
        <f t="shared" ref="K800:K801" si="1479">IF(F800=0,"",J800*I800)</f>
        <v>1768.7835</v>
      </c>
      <c r="L800" s="258">
        <f t="shared" ref="L800:L801" si="1480">IF(F800=0,"",L$794)</f>
        <v>54</v>
      </c>
      <c r="M800" s="282">
        <v>3.2000000000000001E-2</v>
      </c>
      <c r="N800" s="22">
        <f t="shared" ref="N800:N801" si="1481">IF(F800=0,"",M800*I800)</f>
        <v>12.578016</v>
      </c>
      <c r="O800" s="268">
        <f t="shared" ref="O800:O801" si="1482">IF(F800=0,"",N800*L800)</f>
        <v>679.21286399999997</v>
      </c>
      <c r="P800" s="23">
        <f t="shared" ref="P800:P801" si="1483">IF(F800=0,"",(K800+O800)/I800)</f>
        <v>6.2280000000000006</v>
      </c>
      <c r="Q800" s="268">
        <f t="shared" ref="Q800:Q801" si="1484">IF(F800=0,"",(P800*I800))</f>
        <v>2447.9963640000001</v>
      </c>
      <c r="R800" s="118"/>
    </row>
    <row r="801" spans="1:18" x14ac:dyDescent="0.35">
      <c r="A801" s="67" t="str">
        <f>IF(TRIM(G801)&lt;&gt;"",COUNTA(G$11:$G801)&amp;"","")</f>
        <v>503</v>
      </c>
      <c r="B801" s="68"/>
      <c r="C801" s="68"/>
      <c r="D801" s="30"/>
      <c r="E801" s="52" t="s">
        <v>378</v>
      </c>
      <c r="F801" s="69">
        <v>1</v>
      </c>
      <c r="G801" s="70" t="s">
        <v>211</v>
      </c>
      <c r="H801" s="21">
        <v>0</v>
      </c>
      <c r="I801" s="47">
        <f t="shared" si="1478"/>
        <v>1</v>
      </c>
      <c r="J801" s="265">
        <v>1200</v>
      </c>
      <c r="K801" s="268">
        <f t="shared" si="1479"/>
        <v>1200</v>
      </c>
      <c r="L801" s="258">
        <f t="shared" si="1480"/>
        <v>54</v>
      </c>
      <c r="M801" s="282">
        <v>4</v>
      </c>
      <c r="N801" s="22">
        <f t="shared" si="1481"/>
        <v>4</v>
      </c>
      <c r="O801" s="268">
        <f t="shared" si="1482"/>
        <v>216</v>
      </c>
      <c r="P801" s="23">
        <f t="shared" si="1483"/>
        <v>1416</v>
      </c>
      <c r="Q801" s="268">
        <f t="shared" si="1484"/>
        <v>1416</v>
      </c>
      <c r="R801" s="118"/>
    </row>
    <row r="802" spans="1:18" ht="15" thickBot="1" x14ac:dyDescent="0.4">
      <c r="A802" s="67" t="str">
        <f>IF(TRIM(G802)&lt;&gt;"",COUNTA(G$11:$G802)&amp;"","")</f>
        <v/>
      </c>
      <c r="B802" s="71"/>
      <c r="C802" s="71"/>
      <c r="D802" s="30"/>
      <c r="E802" s="72"/>
      <c r="F802" s="69"/>
      <c r="G802" s="70"/>
      <c r="H802" s="21" t="str">
        <f t="shared" si="1476"/>
        <v/>
      </c>
      <c r="I802" s="47" t="str">
        <f t="shared" si="1469"/>
        <v/>
      </c>
      <c r="J802" s="265" t="str">
        <f t="shared" si="1470"/>
        <v/>
      </c>
      <c r="K802" s="268" t="str">
        <f t="shared" si="1471"/>
        <v/>
      </c>
      <c r="L802" s="258" t="str">
        <f>IF(F802=0,"",L$794)</f>
        <v/>
      </c>
      <c r="M802" s="282" t="str">
        <f t="shared" si="1477"/>
        <v/>
      </c>
      <c r="N802" s="22" t="str">
        <f t="shared" si="1472"/>
        <v/>
      </c>
      <c r="O802" s="268" t="str">
        <f t="shared" si="1473"/>
        <v/>
      </c>
      <c r="P802" s="23" t="str">
        <f t="shared" si="1474"/>
        <v/>
      </c>
      <c r="Q802" s="268" t="str">
        <f t="shared" si="1475"/>
        <v/>
      </c>
      <c r="R802" s="118"/>
    </row>
    <row r="803" spans="1:18" s="2" customFormat="1" ht="16" thickBot="1" x14ac:dyDescent="0.4">
      <c r="A803" s="82" t="str">
        <f>IF(TRIM(G803)&lt;&gt;"",COUNTA(G$11:$G803)&amp;"","")</f>
        <v/>
      </c>
      <c r="B803" s="32"/>
      <c r="C803" s="32"/>
      <c r="D803" s="33"/>
      <c r="E803" s="18"/>
      <c r="F803" s="88"/>
      <c r="G803" s="89"/>
      <c r="H803" s="83" t="s">
        <v>12</v>
      </c>
      <c r="I803" s="84"/>
      <c r="J803" s="85">
        <f>SUM(K$795:K$802)</f>
        <v>2968.7835</v>
      </c>
      <c r="K803" s="327" t="s">
        <v>13</v>
      </c>
      <c r="L803" s="328"/>
      <c r="M803" s="284">
        <f>SUM(O$795:O$802)</f>
        <v>5216.4459647999993</v>
      </c>
      <c r="N803" s="327" t="s">
        <v>42</v>
      </c>
      <c r="O803" s="328"/>
      <c r="P803" s="87">
        <f>SUM(N$795:N$802)</f>
        <v>96.600851199999994</v>
      </c>
      <c r="Q803" s="274" t="s">
        <v>205</v>
      </c>
      <c r="R803" s="86">
        <f>SUM(Q$795:Q$802)</f>
        <v>8185.2294647999988</v>
      </c>
    </row>
    <row r="804" spans="1:18" ht="25" customHeight="1" thickBot="1" x14ac:dyDescent="0.4">
      <c r="A804" s="169" t="str">
        <f>IF(TRIM(G804)&lt;&gt;"",COUNTA(G$11:$G804)&amp;"","")</f>
        <v/>
      </c>
      <c r="B804" s="170"/>
      <c r="C804" s="171" t="s">
        <v>144</v>
      </c>
      <c r="D804" s="180" t="s">
        <v>141</v>
      </c>
      <c r="E804" s="180" t="s">
        <v>142</v>
      </c>
      <c r="F804" s="181"/>
      <c r="G804" s="172"/>
      <c r="H804" s="170"/>
      <c r="I804" s="172"/>
      <c r="J804" s="263"/>
      <c r="K804" s="263"/>
      <c r="L804" s="257">
        <v>54</v>
      </c>
      <c r="M804" s="280"/>
      <c r="N804" s="170"/>
      <c r="O804" s="263"/>
      <c r="P804" s="170"/>
      <c r="Q804" s="263"/>
      <c r="R804" s="173"/>
    </row>
    <row r="805" spans="1:18" s="17" customFormat="1" ht="19.25" customHeight="1" x14ac:dyDescent="0.35">
      <c r="A805" s="67" t="str">
        <f>IF(TRIM(G805)&lt;&gt;"",COUNTA(G$11:$G805)&amp;"","")</f>
        <v/>
      </c>
      <c r="B805" s="29"/>
      <c r="C805" s="29"/>
      <c r="D805" s="193" t="s">
        <v>119</v>
      </c>
      <c r="E805" s="191" t="s">
        <v>118</v>
      </c>
      <c r="F805" s="69"/>
      <c r="G805" s="70"/>
      <c r="H805" s="21" t="str">
        <f t="shared" ref="H805:H830" si="1485">IF(F805=0,"",0)</f>
        <v/>
      </c>
      <c r="I805" s="47" t="str">
        <f t="shared" ref="I805:I831" si="1486">IF(F805=0,"",F805+(F805*H805))</f>
        <v/>
      </c>
      <c r="J805" s="265" t="str">
        <f t="shared" ref="J805:J830" si="1487">IF(F805=0,"",0)</f>
        <v/>
      </c>
      <c r="K805" s="268" t="str">
        <f t="shared" ref="K805:K831" si="1488">IF(F805=0,"",J805*I805)</f>
        <v/>
      </c>
      <c r="L805" s="258" t="str">
        <f t="shared" ref="L805:L815" si="1489">IF(F805=0,"",L$804)</f>
        <v/>
      </c>
      <c r="M805" s="282" t="str">
        <f t="shared" ref="M805:M830" si="1490">IF(F805=0,"",0)</f>
        <v/>
      </c>
      <c r="N805" s="22" t="str">
        <f t="shared" ref="N805:N831" si="1491">IF(F805=0,"",M805*I805)</f>
        <v/>
      </c>
      <c r="O805" s="268" t="str">
        <f t="shared" ref="O805:O831" si="1492">IF(F805=0,"",N805*L805)</f>
        <v/>
      </c>
      <c r="P805" s="23" t="str">
        <f t="shared" ref="P805:P835" si="1493">IF(F805=0,"",(K805+O805)/I805)</f>
        <v/>
      </c>
      <c r="Q805" s="268" t="str">
        <f t="shared" ref="Q805:Q835" si="1494">IF(F805=0,"",(P805*I805))</f>
        <v/>
      </c>
      <c r="R805" s="120"/>
    </row>
    <row r="806" spans="1:18" x14ac:dyDescent="0.35">
      <c r="A806" s="67" t="str">
        <f>IF(TRIM(G806)&lt;&gt;"",COUNTA(G$11:$G806)&amp;"","")</f>
        <v>504</v>
      </c>
      <c r="B806" s="310" t="s">
        <v>629</v>
      </c>
      <c r="C806" s="310" t="s">
        <v>629</v>
      </c>
      <c r="D806" s="30"/>
      <c r="E806" s="52" t="s">
        <v>372</v>
      </c>
      <c r="F806" s="69">
        <v>77.290000000000006</v>
      </c>
      <c r="G806" s="70" t="s">
        <v>163</v>
      </c>
      <c r="H806" s="21">
        <v>0.1</v>
      </c>
      <c r="I806" s="47">
        <f t="shared" si="1486"/>
        <v>85.019000000000005</v>
      </c>
      <c r="J806" s="265">
        <v>3.45</v>
      </c>
      <c r="K806" s="268">
        <f t="shared" si="1488"/>
        <v>293.31555000000003</v>
      </c>
      <c r="L806" s="258">
        <f t="shared" si="1489"/>
        <v>54</v>
      </c>
      <c r="M806" s="282">
        <v>2.5999999999999999E-2</v>
      </c>
      <c r="N806" s="22">
        <f t="shared" si="1491"/>
        <v>2.2104940000000002</v>
      </c>
      <c r="O806" s="268">
        <f t="shared" si="1492"/>
        <v>119.36667600000001</v>
      </c>
      <c r="P806" s="23">
        <f t="shared" si="1493"/>
        <v>4.8540000000000001</v>
      </c>
      <c r="Q806" s="268">
        <f t="shared" si="1494"/>
        <v>412.68222600000001</v>
      </c>
      <c r="R806" s="118"/>
    </row>
    <row r="807" spans="1:18" x14ac:dyDescent="0.35">
      <c r="A807" s="67" t="str">
        <f>IF(TRIM(G807)&lt;&gt;"",COUNTA(G$11:$G807)&amp;"","")</f>
        <v/>
      </c>
      <c r="B807" s="311"/>
      <c r="C807" s="311"/>
      <c r="D807" s="30"/>
      <c r="E807" s="52"/>
      <c r="F807" s="69"/>
      <c r="G807" s="70"/>
      <c r="H807" s="21" t="str">
        <f t="shared" si="1485"/>
        <v/>
      </c>
      <c r="I807" s="47" t="str">
        <f t="shared" si="1486"/>
        <v/>
      </c>
      <c r="J807" s="265" t="str">
        <f t="shared" si="1487"/>
        <v/>
      </c>
      <c r="K807" s="268" t="str">
        <f t="shared" si="1488"/>
        <v/>
      </c>
      <c r="L807" s="258" t="str">
        <f t="shared" si="1489"/>
        <v/>
      </c>
      <c r="M807" s="282" t="str">
        <f t="shared" si="1490"/>
        <v/>
      </c>
      <c r="N807" s="22" t="str">
        <f t="shared" si="1491"/>
        <v/>
      </c>
      <c r="O807" s="268" t="str">
        <f t="shared" si="1492"/>
        <v/>
      </c>
      <c r="P807" s="23" t="str">
        <f t="shared" si="1493"/>
        <v/>
      </c>
      <c r="Q807" s="268" t="str">
        <f t="shared" si="1494"/>
        <v/>
      </c>
      <c r="R807" s="118"/>
    </row>
    <row r="808" spans="1:18" s="17" customFormat="1" ht="19.25" customHeight="1" x14ac:dyDescent="0.35">
      <c r="A808" s="67" t="str">
        <f>IF(TRIM(G808)&lt;&gt;"",COUNTA(G$11:$G808)&amp;"","")</f>
        <v/>
      </c>
      <c r="B808" s="311"/>
      <c r="C808" s="311"/>
      <c r="D808" s="193" t="s">
        <v>121</v>
      </c>
      <c r="E808" s="191" t="s">
        <v>120</v>
      </c>
      <c r="F808" s="69"/>
      <c r="G808" s="70"/>
      <c r="H808" s="21" t="str">
        <f t="shared" si="1485"/>
        <v/>
      </c>
      <c r="I808" s="47" t="str">
        <f t="shared" si="1486"/>
        <v/>
      </c>
      <c r="J808" s="265" t="str">
        <f t="shared" si="1487"/>
        <v/>
      </c>
      <c r="K808" s="268" t="str">
        <f t="shared" si="1488"/>
        <v/>
      </c>
      <c r="L808" s="258" t="str">
        <f t="shared" si="1489"/>
        <v/>
      </c>
      <c r="M808" s="282" t="str">
        <f t="shared" si="1490"/>
        <v/>
      </c>
      <c r="N808" s="22" t="str">
        <f t="shared" si="1491"/>
        <v/>
      </c>
      <c r="O808" s="268" t="str">
        <f t="shared" si="1492"/>
        <v/>
      </c>
      <c r="P808" s="23" t="str">
        <f t="shared" si="1493"/>
        <v/>
      </c>
      <c r="Q808" s="268" t="str">
        <f t="shared" si="1494"/>
        <v/>
      </c>
      <c r="R808" s="120"/>
    </row>
    <row r="809" spans="1:18" ht="29" x14ac:dyDescent="0.35">
      <c r="A809" s="67" t="str">
        <f>IF(TRIM(G809)&lt;&gt;"",COUNTA(G$11:$G809)&amp;"","")</f>
        <v>505</v>
      </c>
      <c r="B809" s="311"/>
      <c r="C809" s="311"/>
      <c r="D809" s="30"/>
      <c r="E809" s="52" t="s">
        <v>373</v>
      </c>
      <c r="F809" s="69">
        <v>200.72</v>
      </c>
      <c r="G809" s="70" t="s">
        <v>163</v>
      </c>
      <c r="H809" s="21">
        <v>0.1</v>
      </c>
      <c r="I809" s="47">
        <f t="shared" si="1486"/>
        <v>220.792</v>
      </c>
      <c r="J809" s="265">
        <v>8.5</v>
      </c>
      <c r="K809" s="268">
        <f t="shared" si="1488"/>
        <v>1876.732</v>
      </c>
      <c r="L809" s="258">
        <f t="shared" si="1489"/>
        <v>54</v>
      </c>
      <c r="M809" s="282">
        <v>0.08</v>
      </c>
      <c r="N809" s="22">
        <f t="shared" si="1491"/>
        <v>17.663360000000001</v>
      </c>
      <c r="O809" s="268">
        <f t="shared" si="1492"/>
        <v>953.82144000000005</v>
      </c>
      <c r="P809" s="23">
        <f t="shared" si="1493"/>
        <v>12.82</v>
      </c>
      <c r="Q809" s="268">
        <f t="shared" si="1494"/>
        <v>2830.5534400000001</v>
      </c>
      <c r="R809" s="118"/>
    </row>
    <row r="810" spans="1:18" x14ac:dyDescent="0.35">
      <c r="A810" s="67" t="str">
        <f>IF(TRIM(G810)&lt;&gt;"",COUNTA(G$11:$G810)&amp;"","")</f>
        <v/>
      </c>
      <c r="B810" s="311"/>
      <c r="C810" s="311"/>
      <c r="D810" s="30"/>
      <c r="E810" s="52"/>
      <c r="F810" s="69"/>
      <c r="G810" s="70"/>
      <c r="H810" s="21" t="str">
        <f t="shared" si="1485"/>
        <v/>
      </c>
      <c r="I810" s="47" t="str">
        <f t="shared" si="1486"/>
        <v/>
      </c>
      <c r="J810" s="265" t="str">
        <f t="shared" si="1487"/>
        <v/>
      </c>
      <c r="K810" s="268" t="str">
        <f t="shared" si="1488"/>
        <v/>
      </c>
      <c r="L810" s="258" t="str">
        <f t="shared" si="1489"/>
        <v/>
      </c>
      <c r="M810" s="282" t="str">
        <f t="shared" si="1490"/>
        <v/>
      </c>
      <c r="N810" s="22" t="str">
        <f t="shared" si="1491"/>
        <v/>
      </c>
      <c r="O810" s="268" t="str">
        <f t="shared" si="1492"/>
        <v/>
      </c>
      <c r="P810" s="23" t="str">
        <f t="shared" si="1493"/>
        <v/>
      </c>
      <c r="Q810" s="268" t="str">
        <f t="shared" si="1494"/>
        <v/>
      </c>
      <c r="R810" s="118"/>
    </row>
    <row r="811" spans="1:18" s="17" customFormat="1" ht="19.25" customHeight="1" x14ac:dyDescent="0.35">
      <c r="A811" s="67" t="str">
        <f>IF(TRIM(G811)&lt;&gt;"",COUNTA(G$11:$G811)&amp;"","")</f>
        <v/>
      </c>
      <c r="B811" s="311"/>
      <c r="C811" s="311"/>
      <c r="D811" s="193" t="s">
        <v>123</v>
      </c>
      <c r="E811" s="191" t="s">
        <v>122</v>
      </c>
      <c r="F811" s="69"/>
      <c r="G811" s="70"/>
      <c r="H811" s="21" t="str">
        <f t="shared" si="1485"/>
        <v/>
      </c>
      <c r="I811" s="47" t="str">
        <f t="shared" si="1486"/>
        <v/>
      </c>
      <c r="J811" s="265" t="str">
        <f t="shared" si="1487"/>
        <v/>
      </c>
      <c r="K811" s="268" t="str">
        <f t="shared" si="1488"/>
        <v/>
      </c>
      <c r="L811" s="258" t="str">
        <f t="shared" si="1489"/>
        <v/>
      </c>
      <c r="M811" s="282" t="str">
        <f t="shared" si="1490"/>
        <v/>
      </c>
      <c r="N811" s="22" t="str">
        <f t="shared" si="1491"/>
        <v/>
      </c>
      <c r="O811" s="268" t="str">
        <f t="shared" si="1492"/>
        <v/>
      </c>
      <c r="P811" s="23" t="str">
        <f t="shared" si="1493"/>
        <v/>
      </c>
      <c r="Q811" s="268" t="str">
        <f t="shared" si="1494"/>
        <v/>
      </c>
      <c r="R811" s="120"/>
    </row>
    <row r="812" spans="1:18" x14ac:dyDescent="0.35">
      <c r="A812" s="67" t="str">
        <f>IF(TRIM(G812)&lt;&gt;"",COUNTA(G$11:$G812)&amp;"","")</f>
        <v>506</v>
      </c>
      <c r="B812" s="311"/>
      <c r="C812" s="311"/>
      <c r="D812" s="30"/>
      <c r="E812" s="52" t="s">
        <v>374</v>
      </c>
      <c r="F812" s="69">
        <v>107.78</v>
      </c>
      <c r="G812" s="70" t="s">
        <v>177</v>
      </c>
      <c r="H812" s="21">
        <v>0.1</v>
      </c>
      <c r="I812" s="47">
        <f t="shared" si="1486"/>
        <v>118.55800000000001</v>
      </c>
      <c r="J812" s="265">
        <v>2.5</v>
      </c>
      <c r="K812" s="268">
        <f t="shared" si="1488"/>
        <v>296.39500000000004</v>
      </c>
      <c r="L812" s="258">
        <f t="shared" si="1489"/>
        <v>54</v>
      </c>
      <c r="M812" s="282">
        <v>1.4999999999999999E-2</v>
      </c>
      <c r="N812" s="22">
        <f t="shared" si="1491"/>
        <v>1.77837</v>
      </c>
      <c r="O812" s="268">
        <f t="shared" si="1492"/>
        <v>96.031980000000004</v>
      </c>
      <c r="P812" s="23">
        <f t="shared" si="1493"/>
        <v>3.3100000000000005</v>
      </c>
      <c r="Q812" s="268">
        <f t="shared" si="1494"/>
        <v>392.42698000000007</v>
      </c>
      <c r="R812" s="118"/>
    </row>
    <row r="813" spans="1:18" ht="29" customHeight="1" x14ac:dyDescent="0.35">
      <c r="A813" s="67" t="str">
        <f>IF(TRIM(G813)&lt;&gt;"",COUNTA(G$11:$G813)&amp;"","")</f>
        <v>507</v>
      </c>
      <c r="B813" s="311"/>
      <c r="C813" s="311"/>
      <c r="D813" s="30"/>
      <c r="E813" s="52" t="s">
        <v>375</v>
      </c>
      <c r="F813" s="69">
        <v>181.74</v>
      </c>
      <c r="G813" s="70" t="s">
        <v>177</v>
      </c>
      <c r="H813" s="21">
        <v>0.1</v>
      </c>
      <c r="I813" s="47">
        <f t="shared" si="1486"/>
        <v>199.91400000000002</v>
      </c>
      <c r="J813" s="265">
        <v>2.5</v>
      </c>
      <c r="K813" s="268">
        <f t="shared" si="1488"/>
        <v>499.78500000000003</v>
      </c>
      <c r="L813" s="258">
        <f t="shared" si="1489"/>
        <v>54</v>
      </c>
      <c r="M813" s="282">
        <v>1.4999999999999999E-2</v>
      </c>
      <c r="N813" s="22">
        <f t="shared" si="1491"/>
        <v>2.99871</v>
      </c>
      <c r="O813" s="268">
        <f t="shared" si="1492"/>
        <v>161.93034</v>
      </c>
      <c r="P813" s="23">
        <f t="shared" si="1493"/>
        <v>3.3099999999999996</v>
      </c>
      <c r="Q813" s="268">
        <f t="shared" si="1494"/>
        <v>661.71533999999997</v>
      </c>
      <c r="R813" s="118"/>
    </row>
    <row r="814" spans="1:18" x14ac:dyDescent="0.35">
      <c r="A814" s="67" t="str">
        <f>IF(TRIM(G814)&lt;&gt;"",COUNTA(G$11:$G814)&amp;"","")</f>
        <v/>
      </c>
      <c r="B814" s="311"/>
      <c r="C814" s="311"/>
      <c r="D814" s="30"/>
      <c r="E814" s="52"/>
      <c r="F814" s="69"/>
      <c r="G814" s="70"/>
      <c r="H814" s="21" t="str">
        <f t="shared" si="1485"/>
        <v/>
      </c>
      <c r="I814" s="47" t="str">
        <f t="shared" si="1486"/>
        <v/>
      </c>
      <c r="J814" s="265" t="str">
        <f t="shared" si="1487"/>
        <v/>
      </c>
      <c r="K814" s="268" t="str">
        <f t="shared" si="1488"/>
        <v/>
      </c>
      <c r="L814" s="258" t="str">
        <f t="shared" si="1489"/>
        <v/>
      </c>
      <c r="M814" s="282" t="str">
        <f t="shared" si="1490"/>
        <v/>
      </c>
      <c r="N814" s="22" t="str">
        <f t="shared" si="1491"/>
        <v/>
      </c>
      <c r="O814" s="268" t="str">
        <f t="shared" si="1492"/>
        <v/>
      </c>
      <c r="P814" s="23" t="str">
        <f t="shared" si="1493"/>
        <v/>
      </c>
      <c r="Q814" s="268" t="str">
        <f t="shared" si="1494"/>
        <v/>
      </c>
      <c r="R814" s="118"/>
    </row>
    <row r="815" spans="1:18" s="17" customFormat="1" ht="19.25" customHeight="1" x14ac:dyDescent="0.35">
      <c r="A815" s="67" t="str">
        <f>IF(TRIM(G815)&lt;&gt;"",COUNTA(G$11:$G815)&amp;"","")</f>
        <v/>
      </c>
      <c r="B815" s="311"/>
      <c r="C815" s="311"/>
      <c r="D815" s="193" t="s">
        <v>124</v>
      </c>
      <c r="E815" s="191" t="s">
        <v>607</v>
      </c>
      <c r="F815" s="69"/>
      <c r="G815" s="70"/>
      <c r="H815" s="21" t="str">
        <f t="shared" si="1485"/>
        <v/>
      </c>
      <c r="I815" s="47" t="str">
        <f t="shared" si="1486"/>
        <v/>
      </c>
      <c r="J815" s="265" t="str">
        <f t="shared" si="1487"/>
        <v/>
      </c>
      <c r="K815" s="268" t="str">
        <f t="shared" si="1488"/>
        <v/>
      </c>
      <c r="L815" s="258" t="str">
        <f t="shared" si="1489"/>
        <v/>
      </c>
      <c r="M815" s="282" t="str">
        <f t="shared" si="1490"/>
        <v/>
      </c>
      <c r="N815" s="22" t="str">
        <f t="shared" si="1491"/>
        <v/>
      </c>
      <c r="O815" s="268" t="str">
        <f t="shared" si="1492"/>
        <v/>
      </c>
      <c r="P815" s="23" t="str">
        <f t="shared" si="1493"/>
        <v/>
      </c>
      <c r="Q815" s="268" t="str">
        <f t="shared" si="1494"/>
        <v/>
      </c>
      <c r="R815" s="120"/>
    </row>
    <row r="816" spans="1:18" ht="58" x14ac:dyDescent="0.35">
      <c r="A816" s="67" t="str">
        <f>IF(TRIM(G816)&lt;&gt;"",COUNTA(G$11:$G816)&amp;"","")</f>
        <v>508</v>
      </c>
      <c r="B816" s="311"/>
      <c r="C816" s="311"/>
      <c r="D816" s="30"/>
      <c r="E816" s="18" t="s">
        <v>284</v>
      </c>
      <c r="F816" s="239">
        <v>41.02</v>
      </c>
      <c r="G816" s="245" t="s">
        <v>177</v>
      </c>
      <c r="H816" s="21"/>
      <c r="I816" s="47"/>
      <c r="J816" s="265"/>
      <c r="K816" s="268"/>
      <c r="L816" s="258"/>
      <c r="M816" s="282"/>
      <c r="N816" s="22"/>
      <c r="O816" s="268"/>
      <c r="P816" s="23"/>
      <c r="Q816" s="268"/>
      <c r="R816" s="118"/>
    </row>
    <row r="817" spans="1:18" x14ac:dyDescent="0.35">
      <c r="A817" s="67" t="str">
        <f>IF(TRIM(G817)&lt;&gt;"",COUNTA(G$11:$G817)&amp;"","")</f>
        <v>509</v>
      </c>
      <c r="B817" s="311"/>
      <c r="C817" s="311"/>
      <c r="D817" s="30"/>
      <c r="E817" s="72" t="s">
        <v>237</v>
      </c>
      <c r="F817" s="69">
        <f>(F816*0.67*7.25)/27</f>
        <v>7.3798018518518527</v>
      </c>
      <c r="G817" s="70" t="s">
        <v>180</v>
      </c>
      <c r="H817" s="21">
        <v>0.1</v>
      </c>
      <c r="I817" s="47">
        <f t="shared" ref="I817:I822" si="1495">IF(F817=0,"",F817+(F817*H817))</f>
        <v>8.1177820370370384</v>
      </c>
      <c r="J817" s="265">
        <v>215</v>
      </c>
      <c r="K817" s="268">
        <f t="shared" ref="K817:K822" si="1496">IF(F817=0,"",J817*I817)</f>
        <v>1745.3231379629633</v>
      </c>
      <c r="L817" s="258">
        <f t="shared" ref="L817:L822" si="1497">IF(F817=0,"",L$28)</f>
        <v>52</v>
      </c>
      <c r="M817" s="282">
        <v>2.5</v>
      </c>
      <c r="N817" s="22">
        <f t="shared" ref="N817:N822" si="1498">IF(F817=0,"",M817*I817)</f>
        <v>20.294455092592596</v>
      </c>
      <c r="O817" s="268">
        <f t="shared" ref="O817:O822" si="1499">IF(F817=0,"",N817*L817)</f>
        <v>1055.311664814815</v>
      </c>
      <c r="P817" s="23">
        <f t="shared" ref="P817:P822" si="1500">IF(F817=0,"",(K817+O817)/I817)</f>
        <v>345.00000000000006</v>
      </c>
      <c r="Q817" s="268">
        <f t="shared" ref="Q817:Q822" si="1501">IF(F817=0,"",(P817*I817))</f>
        <v>2800.6348027777785</v>
      </c>
      <c r="R817" s="118"/>
    </row>
    <row r="818" spans="1:18" x14ac:dyDescent="0.35">
      <c r="A818" s="67" t="str">
        <f>IF(TRIM(G818)&lt;&gt;"",COUNTA(G$11:$G818)&amp;"","")</f>
        <v>510</v>
      </c>
      <c r="B818" s="311"/>
      <c r="C818" s="311"/>
      <c r="D818" s="30"/>
      <c r="E818" s="72" t="s">
        <v>285</v>
      </c>
      <c r="F818" s="69">
        <f>(F816/1)*7*1.502</f>
        <v>431.28428000000008</v>
      </c>
      <c r="G818" s="70" t="s">
        <v>240</v>
      </c>
      <c r="H818" s="21">
        <v>0.1</v>
      </c>
      <c r="I818" s="47">
        <f t="shared" si="1495"/>
        <v>474.41270800000007</v>
      </c>
      <c r="J818" s="265">
        <v>0.93</v>
      </c>
      <c r="K818" s="268">
        <f t="shared" si="1496"/>
        <v>441.20381844000008</v>
      </c>
      <c r="L818" s="258">
        <f t="shared" si="1497"/>
        <v>52</v>
      </c>
      <c r="M818" s="282">
        <v>0.01</v>
      </c>
      <c r="N818" s="22">
        <f t="shared" si="1498"/>
        <v>4.7441270800000011</v>
      </c>
      <c r="O818" s="268">
        <f t="shared" si="1499"/>
        <v>246.69460816000006</v>
      </c>
      <c r="P818" s="23">
        <f t="shared" si="1500"/>
        <v>1.45</v>
      </c>
      <c r="Q818" s="268">
        <f t="shared" si="1501"/>
        <v>687.89842660000011</v>
      </c>
      <c r="R818" s="118"/>
    </row>
    <row r="819" spans="1:18" x14ac:dyDescent="0.35">
      <c r="A819" s="67" t="str">
        <f>IF(TRIM(G819)&lt;&gt;"",COUNTA(G$11:$G819)&amp;"","")</f>
        <v>511</v>
      </c>
      <c r="B819" s="311"/>
      <c r="C819" s="311"/>
      <c r="D819" s="30"/>
      <c r="E819" s="72" t="s">
        <v>246</v>
      </c>
      <c r="F819" s="69">
        <f>(F816/1.83)*0.58*0.668</f>
        <v>8.6845840437158461</v>
      </c>
      <c r="G819" s="70" t="s">
        <v>240</v>
      </c>
      <c r="H819" s="21">
        <v>0.1</v>
      </c>
      <c r="I819" s="47">
        <f t="shared" si="1495"/>
        <v>9.5530424480874316</v>
      </c>
      <c r="J819" s="265">
        <v>0.93</v>
      </c>
      <c r="K819" s="268">
        <f t="shared" si="1496"/>
        <v>8.8843294767213123</v>
      </c>
      <c r="L819" s="258">
        <f t="shared" si="1497"/>
        <v>52</v>
      </c>
      <c r="M819" s="282">
        <v>0.01</v>
      </c>
      <c r="N819" s="22">
        <f t="shared" si="1498"/>
        <v>9.5530424480874315E-2</v>
      </c>
      <c r="O819" s="268">
        <f t="shared" si="1499"/>
        <v>4.9675820730054641</v>
      </c>
      <c r="P819" s="23">
        <f t="shared" si="1500"/>
        <v>1.45</v>
      </c>
      <c r="Q819" s="268">
        <f t="shared" si="1501"/>
        <v>13.851911549726776</v>
      </c>
      <c r="R819" s="118"/>
    </row>
    <row r="820" spans="1:18" x14ac:dyDescent="0.35">
      <c r="A820" s="67" t="str">
        <f>IF(TRIM(G820)&lt;&gt;"",COUNTA(G$11:$G820)&amp;"","")</f>
        <v>512</v>
      </c>
      <c r="B820" s="311"/>
      <c r="C820" s="311"/>
      <c r="D820" s="30"/>
      <c r="E820" s="72" t="s">
        <v>286</v>
      </c>
      <c r="F820" s="69">
        <f>(F816/1)*5.67*1.502</f>
        <v>349.34026679999999</v>
      </c>
      <c r="G820" s="70" t="s">
        <v>240</v>
      </c>
      <c r="H820" s="21">
        <v>0.1</v>
      </c>
      <c r="I820" s="47">
        <f t="shared" si="1495"/>
        <v>384.27429347999998</v>
      </c>
      <c r="J820" s="265">
        <v>0.93</v>
      </c>
      <c r="K820" s="268">
        <f t="shared" si="1496"/>
        <v>357.37509293639999</v>
      </c>
      <c r="L820" s="258">
        <f t="shared" si="1497"/>
        <v>52</v>
      </c>
      <c r="M820" s="282">
        <v>0.01</v>
      </c>
      <c r="N820" s="22">
        <f t="shared" si="1498"/>
        <v>3.8427429348</v>
      </c>
      <c r="O820" s="268">
        <f t="shared" si="1499"/>
        <v>199.82263260959999</v>
      </c>
      <c r="P820" s="23">
        <f t="shared" si="1500"/>
        <v>1.4500000000000002</v>
      </c>
      <c r="Q820" s="268">
        <f t="shared" si="1501"/>
        <v>557.19772554600002</v>
      </c>
      <c r="R820" s="118"/>
    </row>
    <row r="821" spans="1:18" x14ac:dyDescent="0.35">
      <c r="A821" s="67" t="str">
        <f>IF(TRIM(G821)&lt;&gt;"",COUNTA(G$11:$G821)&amp;"","")</f>
        <v>513</v>
      </c>
      <c r="B821" s="311"/>
      <c r="C821" s="311"/>
      <c r="D821" s="30"/>
      <c r="E821" s="72" t="s">
        <v>242</v>
      </c>
      <c r="F821" s="69">
        <f>(F816*7.25)*2</f>
        <v>594.79000000000008</v>
      </c>
      <c r="G821" s="70" t="s">
        <v>163</v>
      </c>
      <c r="H821" s="21">
        <v>0.1</v>
      </c>
      <c r="I821" s="47">
        <f t="shared" si="1495"/>
        <v>654.26900000000012</v>
      </c>
      <c r="J821" s="265">
        <f t="shared" ref="J821:J822" si="1502">IF(F821=0,"",0)</f>
        <v>0</v>
      </c>
      <c r="K821" s="268">
        <f t="shared" si="1496"/>
        <v>0</v>
      </c>
      <c r="L821" s="258">
        <f t="shared" si="1497"/>
        <v>52</v>
      </c>
      <c r="M821" s="282">
        <v>0.05</v>
      </c>
      <c r="N821" s="22">
        <f t="shared" si="1498"/>
        <v>32.713450000000009</v>
      </c>
      <c r="O821" s="268">
        <f t="shared" si="1499"/>
        <v>1701.0994000000005</v>
      </c>
      <c r="P821" s="23">
        <f t="shared" si="1500"/>
        <v>2.6000000000000005</v>
      </c>
      <c r="Q821" s="268">
        <f t="shared" si="1501"/>
        <v>1701.0994000000007</v>
      </c>
      <c r="R821" s="118"/>
    </row>
    <row r="822" spans="1:18" x14ac:dyDescent="0.35">
      <c r="A822" s="67" t="str">
        <f>IF(TRIM(G822)&lt;&gt;"",COUNTA(G$11:$G822)&amp;"","")</f>
        <v/>
      </c>
      <c r="B822" s="311"/>
      <c r="C822" s="311"/>
      <c r="D822" s="30"/>
      <c r="E822" s="72"/>
      <c r="F822" s="69"/>
      <c r="G822" s="70"/>
      <c r="H822" s="21" t="str">
        <f>IF(F822=0,"",0)</f>
        <v/>
      </c>
      <c r="I822" s="47" t="str">
        <f t="shared" si="1495"/>
        <v/>
      </c>
      <c r="J822" s="265" t="str">
        <f t="shared" si="1502"/>
        <v/>
      </c>
      <c r="K822" s="268" t="str">
        <f t="shared" si="1496"/>
        <v/>
      </c>
      <c r="L822" s="258" t="str">
        <f t="shared" si="1497"/>
        <v/>
      </c>
      <c r="M822" s="282" t="str">
        <f t="shared" ref="M822" si="1503">IF(F822=0,"",0)</f>
        <v/>
      </c>
      <c r="N822" s="22" t="str">
        <f t="shared" si="1498"/>
        <v/>
      </c>
      <c r="O822" s="268" t="str">
        <f t="shared" si="1499"/>
        <v/>
      </c>
      <c r="P822" s="23" t="str">
        <f t="shared" si="1500"/>
        <v/>
      </c>
      <c r="Q822" s="268" t="str">
        <f t="shared" si="1501"/>
        <v/>
      </c>
      <c r="R822" s="118"/>
    </row>
    <row r="823" spans="1:18" ht="58" x14ac:dyDescent="0.35">
      <c r="A823" s="67" t="str">
        <f>IF(TRIM(G823)&lt;&gt;"",COUNTA(G$11:$G823)&amp;"","")</f>
        <v>514</v>
      </c>
      <c r="B823" s="311"/>
      <c r="C823" s="311"/>
      <c r="D823" s="30"/>
      <c r="E823" s="18" t="s">
        <v>287</v>
      </c>
      <c r="F823" s="239">
        <v>26.74</v>
      </c>
      <c r="G823" s="245" t="s">
        <v>177</v>
      </c>
      <c r="H823" s="21"/>
      <c r="I823" s="47"/>
      <c r="J823" s="265"/>
      <c r="K823" s="268"/>
      <c r="L823" s="258"/>
      <c r="M823" s="282"/>
      <c r="N823" s="22"/>
      <c r="O823" s="268"/>
      <c r="P823" s="23"/>
      <c r="Q823" s="268"/>
      <c r="R823" s="118"/>
    </row>
    <row r="824" spans="1:18" x14ac:dyDescent="0.35">
      <c r="A824" s="67" t="str">
        <f>IF(TRIM(G824)&lt;&gt;"",COUNTA(G$11:$G824)&amp;"","")</f>
        <v>515</v>
      </c>
      <c r="B824" s="311"/>
      <c r="C824" s="311"/>
      <c r="D824" s="30"/>
      <c r="E824" s="72" t="s">
        <v>237</v>
      </c>
      <c r="F824" s="69">
        <f>(F823*0.67*6.83)/27</f>
        <v>4.5320338518518524</v>
      </c>
      <c r="G824" s="70" t="s">
        <v>180</v>
      </c>
      <c r="H824" s="21">
        <v>0.1</v>
      </c>
      <c r="I824" s="47">
        <f t="shared" ref="I824:I828" si="1504">IF(F824=0,"",F824+(F824*H824))</f>
        <v>4.9852372370370377</v>
      </c>
      <c r="J824" s="265">
        <v>215</v>
      </c>
      <c r="K824" s="268">
        <f t="shared" ref="K824:K828" si="1505">IF(F824=0,"",J824*I824)</f>
        <v>1071.8260059629631</v>
      </c>
      <c r="L824" s="258">
        <f t="shared" ref="L824:L828" si="1506">IF(F824=0,"",L$28)</f>
        <v>52</v>
      </c>
      <c r="M824" s="282">
        <v>2.5</v>
      </c>
      <c r="N824" s="22">
        <f t="shared" ref="N824:N828" si="1507">IF(F824=0,"",M824*I824)</f>
        <v>12.463093092592594</v>
      </c>
      <c r="O824" s="268">
        <f t="shared" ref="O824:O828" si="1508">IF(F824=0,"",N824*L824)</f>
        <v>648.08084081481491</v>
      </c>
      <c r="P824" s="23">
        <f t="shared" ref="P824:P828" si="1509">IF(F824=0,"",(K824+O824)/I824)</f>
        <v>345</v>
      </c>
      <c r="Q824" s="268">
        <f t="shared" ref="Q824:Q828" si="1510">IF(F824=0,"",(P824*I824))</f>
        <v>1719.9068467777779</v>
      </c>
      <c r="R824" s="118"/>
    </row>
    <row r="825" spans="1:18" x14ac:dyDescent="0.35">
      <c r="A825" s="67" t="str">
        <f>IF(TRIM(G825)&lt;&gt;"",COUNTA(G$11:$G825)&amp;"","")</f>
        <v>516</v>
      </c>
      <c r="B825" s="311"/>
      <c r="C825" s="311"/>
      <c r="D825" s="30"/>
      <c r="E825" s="72" t="s">
        <v>285</v>
      </c>
      <c r="F825" s="69">
        <f>(F823/1)*6.5*1.502</f>
        <v>261.06261999999998</v>
      </c>
      <c r="G825" s="70" t="s">
        <v>240</v>
      </c>
      <c r="H825" s="21">
        <v>0.1</v>
      </c>
      <c r="I825" s="47">
        <f t="shared" si="1504"/>
        <v>287.168882</v>
      </c>
      <c r="J825" s="265">
        <v>0.93</v>
      </c>
      <c r="K825" s="268">
        <f t="shared" si="1505"/>
        <v>267.06706026000001</v>
      </c>
      <c r="L825" s="258">
        <f t="shared" si="1506"/>
        <v>52</v>
      </c>
      <c r="M825" s="282">
        <v>0.01</v>
      </c>
      <c r="N825" s="22">
        <f t="shared" si="1507"/>
        <v>2.8716888200000001</v>
      </c>
      <c r="O825" s="268">
        <f t="shared" si="1508"/>
        <v>149.32781864</v>
      </c>
      <c r="P825" s="23">
        <f t="shared" si="1509"/>
        <v>1.45</v>
      </c>
      <c r="Q825" s="268">
        <f t="shared" si="1510"/>
        <v>416.39487889999998</v>
      </c>
      <c r="R825" s="118"/>
    </row>
    <row r="826" spans="1:18" x14ac:dyDescent="0.35">
      <c r="A826" s="67" t="str">
        <f>IF(TRIM(G826)&lt;&gt;"",COUNTA(G$11:$G826)&amp;"","")</f>
        <v>517</v>
      </c>
      <c r="B826" s="311"/>
      <c r="C826" s="311"/>
      <c r="D826" s="30"/>
      <c r="E826" s="72" t="s">
        <v>246</v>
      </c>
      <c r="F826" s="69">
        <f>(F823/1.83)*0.58*0.668</f>
        <v>5.6612817486338791</v>
      </c>
      <c r="G826" s="70" t="s">
        <v>240</v>
      </c>
      <c r="H826" s="21">
        <v>0.1</v>
      </c>
      <c r="I826" s="47">
        <f t="shared" si="1504"/>
        <v>6.2274099234972669</v>
      </c>
      <c r="J826" s="265">
        <v>0.93</v>
      </c>
      <c r="K826" s="268">
        <f t="shared" si="1505"/>
        <v>5.7914912288524585</v>
      </c>
      <c r="L826" s="258">
        <f t="shared" si="1506"/>
        <v>52</v>
      </c>
      <c r="M826" s="282">
        <v>0.01</v>
      </c>
      <c r="N826" s="22">
        <f t="shared" si="1507"/>
        <v>6.2274099234972673E-2</v>
      </c>
      <c r="O826" s="268">
        <f t="shared" si="1508"/>
        <v>3.2382531602185791</v>
      </c>
      <c r="P826" s="23">
        <f t="shared" si="1509"/>
        <v>1.4500000000000002</v>
      </c>
      <c r="Q826" s="268">
        <f t="shared" si="1510"/>
        <v>9.0297443890710376</v>
      </c>
      <c r="R826" s="118"/>
    </row>
    <row r="827" spans="1:18" x14ac:dyDescent="0.35">
      <c r="A827" s="67" t="str">
        <f>IF(TRIM(G827)&lt;&gt;"",COUNTA(G$11:$G827)&amp;"","")</f>
        <v>518</v>
      </c>
      <c r="B827" s="311"/>
      <c r="C827" s="311"/>
      <c r="D827" s="30"/>
      <c r="E827" s="72" t="s">
        <v>286</v>
      </c>
      <c r="F827" s="69">
        <f>(F823/1)*5.67*1.502</f>
        <v>227.72693159999997</v>
      </c>
      <c r="G827" s="70" t="s">
        <v>240</v>
      </c>
      <c r="H827" s="21">
        <v>0.1</v>
      </c>
      <c r="I827" s="47">
        <f t="shared" si="1504"/>
        <v>250.49962475999996</v>
      </c>
      <c r="J827" s="265">
        <v>0.93</v>
      </c>
      <c r="K827" s="268">
        <f t="shared" si="1505"/>
        <v>232.96465102679997</v>
      </c>
      <c r="L827" s="258">
        <f t="shared" si="1506"/>
        <v>52</v>
      </c>
      <c r="M827" s="282">
        <v>0.01</v>
      </c>
      <c r="N827" s="22">
        <f t="shared" si="1507"/>
        <v>2.5049962475999998</v>
      </c>
      <c r="O827" s="268">
        <f t="shared" si="1508"/>
        <v>130.25980487519999</v>
      </c>
      <c r="P827" s="23">
        <f t="shared" si="1509"/>
        <v>1.45</v>
      </c>
      <c r="Q827" s="268">
        <f t="shared" si="1510"/>
        <v>363.22445590199993</v>
      </c>
      <c r="R827" s="118"/>
    </row>
    <row r="828" spans="1:18" x14ac:dyDescent="0.35">
      <c r="A828" s="67" t="str">
        <f>IF(TRIM(G828)&lt;&gt;"",COUNTA(G$11:$G828)&amp;"","")</f>
        <v>519</v>
      </c>
      <c r="B828" s="311"/>
      <c r="C828" s="311"/>
      <c r="D828" s="30"/>
      <c r="E828" s="72" t="s">
        <v>242</v>
      </c>
      <c r="F828" s="69">
        <f>(F823*6.83)*2</f>
        <v>365.26839999999999</v>
      </c>
      <c r="G828" s="70" t="s">
        <v>163</v>
      </c>
      <c r="H828" s="21">
        <v>0.1</v>
      </c>
      <c r="I828" s="47">
        <f t="shared" si="1504"/>
        <v>401.79523999999998</v>
      </c>
      <c r="J828" s="265">
        <f t="shared" ref="J828" si="1511">IF(F828=0,"",0)</f>
        <v>0</v>
      </c>
      <c r="K828" s="268">
        <f t="shared" si="1505"/>
        <v>0</v>
      </c>
      <c r="L828" s="258">
        <f t="shared" si="1506"/>
        <v>52</v>
      </c>
      <c r="M828" s="282">
        <v>0.05</v>
      </c>
      <c r="N828" s="22">
        <f t="shared" si="1507"/>
        <v>20.089762</v>
      </c>
      <c r="O828" s="268">
        <f t="shared" si="1508"/>
        <v>1044.6676239999999</v>
      </c>
      <c r="P828" s="23">
        <f t="shared" si="1509"/>
        <v>2.6</v>
      </c>
      <c r="Q828" s="268">
        <f t="shared" si="1510"/>
        <v>1044.6676239999999</v>
      </c>
      <c r="R828" s="118"/>
    </row>
    <row r="829" spans="1:18" x14ac:dyDescent="0.35">
      <c r="A829" s="67" t="str">
        <f>IF(TRIM(G829)&lt;&gt;"",COUNTA(G$11:$G829)&amp;"","")</f>
        <v/>
      </c>
      <c r="B829" s="311"/>
      <c r="C829" s="311"/>
      <c r="D829" s="30"/>
      <c r="E829" s="52"/>
      <c r="F829" s="69"/>
      <c r="G829" s="70"/>
      <c r="H829" s="21" t="str">
        <f t="shared" si="1485"/>
        <v/>
      </c>
      <c r="I829" s="47" t="str">
        <f t="shared" si="1486"/>
        <v/>
      </c>
      <c r="J829" s="265" t="str">
        <f t="shared" si="1487"/>
        <v/>
      </c>
      <c r="K829" s="268" t="str">
        <f t="shared" si="1488"/>
        <v/>
      </c>
      <c r="L829" s="258" t="str">
        <f>IF(F829=0,"",L$804)</f>
        <v/>
      </c>
      <c r="M829" s="282" t="str">
        <f t="shared" si="1490"/>
        <v/>
      </c>
      <c r="N829" s="22" t="str">
        <f t="shared" si="1491"/>
        <v/>
      </c>
      <c r="O829" s="268" t="str">
        <f t="shared" si="1492"/>
        <v/>
      </c>
      <c r="P829" s="23" t="str">
        <f t="shared" si="1493"/>
        <v/>
      </c>
      <c r="Q829" s="268" t="str">
        <f t="shared" si="1494"/>
        <v/>
      </c>
      <c r="R829" s="118"/>
    </row>
    <row r="830" spans="1:18" s="17" customFormat="1" ht="19.25" customHeight="1" x14ac:dyDescent="0.35">
      <c r="A830" s="67" t="str">
        <f>IF(TRIM(G830)&lt;&gt;"",COUNTA(G$11:$G830)&amp;"","")</f>
        <v/>
      </c>
      <c r="B830" s="311"/>
      <c r="C830" s="311"/>
      <c r="D830" s="193" t="s">
        <v>126</v>
      </c>
      <c r="E830" s="191" t="s">
        <v>125</v>
      </c>
      <c r="F830" s="69"/>
      <c r="G830" s="70"/>
      <c r="H830" s="21" t="str">
        <f t="shared" si="1485"/>
        <v/>
      </c>
      <c r="I830" s="47" t="str">
        <f t="shared" si="1486"/>
        <v/>
      </c>
      <c r="J830" s="265" t="str">
        <f t="shared" si="1487"/>
        <v/>
      </c>
      <c r="K830" s="268" t="str">
        <f t="shared" si="1488"/>
        <v/>
      </c>
      <c r="L830" s="258" t="str">
        <f>IF(F830=0,"",L$804)</f>
        <v/>
      </c>
      <c r="M830" s="282" t="str">
        <f t="shared" si="1490"/>
        <v/>
      </c>
      <c r="N830" s="22" t="str">
        <f t="shared" si="1491"/>
        <v/>
      </c>
      <c r="O830" s="268" t="str">
        <f t="shared" si="1492"/>
        <v/>
      </c>
      <c r="P830" s="23" t="str">
        <f t="shared" si="1493"/>
        <v/>
      </c>
      <c r="Q830" s="268" t="str">
        <f t="shared" si="1494"/>
        <v/>
      </c>
      <c r="R830" s="120"/>
    </row>
    <row r="831" spans="1:18" ht="43.5" x14ac:dyDescent="0.35">
      <c r="A831" s="67" t="str">
        <f>IF(TRIM(G831)&lt;&gt;"",COUNTA(G$11:$G831)&amp;"","")</f>
        <v>520</v>
      </c>
      <c r="B831" s="311"/>
      <c r="C831" s="311"/>
      <c r="D831" s="30"/>
      <c r="E831" s="52" t="s">
        <v>379</v>
      </c>
      <c r="F831" s="69">
        <v>7577.92</v>
      </c>
      <c r="G831" s="70" t="s">
        <v>163</v>
      </c>
      <c r="H831" s="21">
        <v>0.1</v>
      </c>
      <c r="I831" s="47">
        <f t="shared" si="1486"/>
        <v>8335.7119999999995</v>
      </c>
      <c r="J831" s="265">
        <v>1.5</v>
      </c>
      <c r="K831" s="268">
        <f t="shared" si="1488"/>
        <v>12503.567999999999</v>
      </c>
      <c r="L831" s="258">
        <f>IF(F831=0,"",L$804)</f>
        <v>54</v>
      </c>
      <c r="M831" s="282">
        <v>0.01</v>
      </c>
      <c r="N831" s="22">
        <f t="shared" si="1491"/>
        <v>83.357119999999995</v>
      </c>
      <c r="O831" s="268">
        <f t="shared" si="1492"/>
        <v>4501.2844799999993</v>
      </c>
      <c r="P831" s="23">
        <f t="shared" si="1493"/>
        <v>2.04</v>
      </c>
      <c r="Q831" s="268">
        <f t="shared" si="1494"/>
        <v>17004.852479999998</v>
      </c>
      <c r="R831" s="118"/>
    </row>
    <row r="832" spans="1:18" x14ac:dyDescent="0.35">
      <c r="A832" s="67" t="str">
        <f>IF(TRIM(G832)&lt;&gt;"",COUNTA(G$11:$G832)&amp;"","")</f>
        <v/>
      </c>
      <c r="B832" s="311"/>
      <c r="C832" s="311"/>
      <c r="D832" s="30"/>
      <c r="E832" s="52"/>
      <c r="F832" s="69"/>
      <c r="G832" s="70"/>
      <c r="H832" s="21" t="str">
        <f t="shared" ref="H832:H843" si="1512">IF(F832=0,"",0)</f>
        <v/>
      </c>
      <c r="I832" s="47" t="str">
        <f t="shared" ref="I832:I843" si="1513">IF(F832=0,"",F832+(F832*H832))</f>
        <v/>
      </c>
      <c r="J832" s="265" t="str">
        <f t="shared" ref="J832:J843" si="1514">IF(F832=0,"",0)</f>
        <v/>
      </c>
      <c r="K832" s="268" t="str">
        <f t="shared" ref="K832:K843" si="1515">IF(F832=0,"",J832*I832)</f>
        <v/>
      </c>
      <c r="L832" s="258" t="str">
        <f>IF(F832=0,"",L$804)</f>
        <v/>
      </c>
      <c r="M832" s="282" t="str">
        <f t="shared" ref="M832:M843" si="1516">IF(F832=0,"",0)</f>
        <v/>
      </c>
      <c r="N832" s="22" t="str">
        <f t="shared" ref="N832:N843" si="1517">IF(F832=0,"",M832*I832)</f>
        <v/>
      </c>
      <c r="O832" s="268" t="str">
        <f t="shared" ref="O832:O843" si="1518">IF(F832=0,"",N832*L832)</f>
        <v/>
      </c>
      <c r="P832" s="23" t="str">
        <f t="shared" si="1493"/>
        <v/>
      </c>
      <c r="Q832" s="268" t="str">
        <f t="shared" si="1494"/>
        <v/>
      </c>
      <c r="R832" s="118"/>
    </row>
    <row r="833" spans="1:18" x14ac:dyDescent="0.35">
      <c r="A833" s="67" t="str">
        <f>IF(TRIM(G833)&lt;&gt;"",COUNTA(G$11:$G833)&amp;"","")</f>
        <v/>
      </c>
      <c r="B833" s="311"/>
      <c r="C833" s="311"/>
      <c r="D833" s="30"/>
      <c r="E833" s="244" t="s">
        <v>380</v>
      </c>
      <c r="F833" s="69"/>
      <c r="G833" s="70"/>
      <c r="H833" s="21"/>
      <c r="I833" s="47"/>
      <c r="J833" s="265"/>
      <c r="K833" s="268"/>
      <c r="L833" s="258"/>
      <c r="M833" s="282"/>
      <c r="N833" s="22"/>
      <c r="O833" s="268"/>
      <c r="P833" s="23"/>
      <c r="Q833" s="268"/>
      <c r="R833" s="118"/>
    </row>
    <row r="834" spans="1:18" ht="29" x14ac:dyDescent="0.35">
      <c r="A834" s="67" t="str">
        <f>IF(TRIM(G834)&lt;&gt;"",COUNTA(G$11:$G834)&amp;"","")</f>
        <v>521</v>
      </c>
      <c r="B834" s="311"/>
      <c r="C834" s="311"/>
      <c r="D834" s="30"/>
      <c r="E834" s="52" t="s">
        <v>611</v>
      </c>
      <c r="F834" s="69">
        <v>78.37</v>
      </c>
      <c r="G834" s="70" t="s">
        <v>163</v>
      </c>
      <c r="H834" s="21">
        <v>0.1</v>
      </c>
      <c r="I834" s="47">
        <f t="shared" ref="I834" si="1519">IF(F834=0,"",F834+(F834*H834))</f>
        <v>86.207000000000008</v>
      </c>
      <c r="J834" s="265">
        <v>4.5</v>
      </c>
      <c r="K834" s="268">
        <f t="shared" ref="K834" si="1520">IF(F834=0,"",J834*I834)</f>
        <v>387.93150000000003</v>
      </c>
      <c r="L834" s="258">
        <f t="shared" ref="L834" si="1521">IF(F834=0,"",L$804)</f>
        <v>54</v>
      </c>
      <c r="M834" s="282">
        <v>4.2000000000000003E-2</v>
      </c>
      <c r="N834" s="22">
        <f t="shared" ref="N834" si="1522">IF(F834=0,"",M834*I834)</f>
        <v>3.6206940000000007</v>
      </c>
      <c r="O834" s="268">
        <f t="shared" ref="O834" si="1523">IF(F834=0,"",N834*L834)</f>
        <v>195.51747600000004</v>
      </c>
      <c r="P834" s="23">
        <f t="shared" ref="P834" si="1524">IF(F834=0,"",(K834+O834)/I834)</f>
        <v>6.7680000000000007</v>
      </c>
      <c r="Q834" s="268">
        <f t="shared" ref="Q834" si="1525">IF(F834=0,"",(P834*I834))</f>
        <v>583.44897600000013</v>
      </c>
      <c r="R834" s="118"/>
    </row>
    <row r="835" spans="1:18" x14ac:dyDescent="0.35">
      <c r="A835" s="67" t="str">
        <f>IF(TRIM(G835)&lt;&gt;"",COUNTA(G$11:$G835)&amp;"","")</f>
        <v/>
      </c>
      <c r="B835" s="311"/>
      <c r="C835" s="311"/>
      <c r="D835" s="30"/>
      <c r="E835" s="52"/>
      <c r="F835" s="69"/>
      <c r="G835" s="70"/>
      <c r="H835" s="21" t="str">
        <f t="shared" si="1512"/>
        <v/>
      </c>
      <c r="I835" s="47" t="str">
        <f t="shared" si="1513"/>
        <v/>
      </c>
      <c r="J835" s="265" t="str">
        <f t="shared" si="1514"/>
        <v/>
      </c>
      <c r="K835" s="268" t="str">
        <f t="shared" si="1515"/>
        <v/>
      </c>
      <c r="L835" s="258" t="str">
        <f>IF(F835=0,"",L$804)</f>
        <v/>
      </c>
      <c r="M835" s="282" t="str">
        <f t="shared" si="1516"/>
        <v/>
      </c>
      <c r="N835" s="22" t="str">
        <f t="shared" si="1517"/>
        <v/>
      </c>
      <c r="O835" s="268" t="str">
        <f t="shared" si="1518"/>
        <v/>
      </c>
      <c r="P835" s="23" t="str">
        <f t="shared" si="1493"/>
        <v/>
      </c>
      <c r="Q835" s="268" t="str">
        <f t="shared" si="1494"/>
        <v/>
      </c>
      <c r="R835" s="118"/>
    </row>
    <row r="836" spans="1:18" s="17" customFormat="1" ht="19.25" customHeight="1" x14ac:dyDescent="0.35">
      <c r="A836" s="67" t="str">
        <f>IF(TRIM(G836)&lt;&gt;"",COUNTA(G$11:$G836)&amp;"","")</f>
        <v/>
      </c>
      <c r="B836" s="311"/>
      <c r="C836" s="311"/>
      <c r="D836" s="193" t="s">
        <v>128</v>
      </c>
      <c r="E836" s="191" t="s">
        <v>127</v>
      </c>
      <c r="F836" s="69"/>
      <c r="G836" s="70"/>
      <c r="H836" s="21" t="str">
        <f t="shared" si="1512"/>
        <v/>
      </c>
      <c r="I836" s="47" t="str">
        <f t="shared" si="1513"/>
        <v/>
      </c>
      <c r="J836" s="265" t="str">
        <f t="shared" si="1514"/>
        <v/>
      </c>
      <c r="K836" s="268" t="str">
        <f t="shared" si="1515"/>
        <v/>
      </c>
      <c r="L836" s="258" t="str">
        <f>IF(F836=0,"",L$804)</f>
        <v/>
      </c>
      <c r="M836" s="282" t="str">
        <f t="shared" si="1516"/>
        <v/>
      </c>
      <c r="N836" s="22" t="str">
        <f t="shared" si="1517"/>
        <v/>
      </c>
      <c r="O836" s="268" t="str">
        <f t="shared" si="1518"/>
        <v/>
      </c>
      <c r="P836" s="23" t="str">
        <f t="shared" ref="P836:P843" si="1526">IF(F836=0,"",(K836+O836)/I836)</f>
        <v/>
      </c>
      <c r="Q836" s="268" t="str">
        <f t="shared" ref="Q836:Q843" si="1527">IF(F836=0,"",(P836*I836))</f>
        <v/>
      </c>
      <c r="R836" s="120"/>
    </row>
    <row r="837" spans="1:18" x14ac:dyDescent="0.35">
      <c r="A837" s="67" t="str">
        <f>IF(TRIM(G837)&lt;&gt;"",COUNTA(G$11:$G837)&amp;"","")</f>
        <v/>
      </c>
      <c r="B837" s="311"/>
      <c r="C837" s="311"/>
      <c r="D837" s="30"/>
      <c r="E837" s="244" t="s">
        <v>382</v>
      </c>
      <c r="F837" s="69"/>
      <c r="G837" s="70"/>
      <c r="H837" s="21" t="str">
        <f t="shared" si="1512"/>
        <v/>
      </c>
      <c r="I837" s="47" t="str">
        <f t="shared" si="1513"/>
        <v/>
      </c>
      <c r="J837" s="265" t="str">
        <f t="shared" si="1514"/>
        <v/>
      </c>
      <c r="K837" s="268" t="str">
        <f t="shared" si="1515"/>
        <v/>
      </c>
      <c r="L837" s="258" t="str">
        <f>IF(F837=0,"",L$804)</f>
        <v/>
      </c>
      <c r="M837" s="282" t="str">
        <f t="shared" si="1516"/>
        <v/>
      </c>
      <c r="N837" s="22" t="str">
        <f t="shared" si="1517"/>
        <v/>
      </c>
      <c r="O837" s="268" t="str">
        <f t="shared" si="1518"/>
        <v/>
      </c>
      <c r="P837" s="23" t="str">
        <f t="shared" si="1526"/>
        <v/>
      </c>
      <c r="Q837" s="268" t="str">
        <f t="shared" si="1527"/>
        <v/>
      </c>
      <c r="R837" s="118"/>
    </row>
    <row r="838" spans="1:18" x14ac:dyDescent="0.35">
      <c r="A838" s="67" t="str">
        <f>IF(TRIM(G838)&lt;&gt;"",COUNTA(G$11:$G838)&amp;"","")</f>
        <v>522</v>
      </c>
      <c r="B838" s="311"/>
      <c r="C838" s="311"/>
      <c r="D838" s="30"/>
      <c r="E838" s="52" t="s">
        <v>387</v>
      </c>
      <c r="F838" s="69">
        <v>3</v>
      </c>
      <c r="G838" s="70" t="s">
        <v>211</v>
      </c>
      <c r="H838" s="21">
        <f t="shared" si="1512"/>
        <v>0</v>
      </c>
      <c r="I838" s="47">
        <f t="shared" si="1513"/>
        <v>3</v>
      </c>
      <c r="J838" s="265">
        <v>175</v>
      </c>
      <c r="K838" s="268">
        <f t="shared" si="1515"/>
        <v>525</v>
      </c>
      <c r="L838" s="258">
        <f>IF(F838=0,"",L$804)</f>
        <v>54</v>
      </c>
      <c r="M838" s="282">
        <v>1.4525000000000001</v>
      </c>
      <c r="N838" s="22">
        <f t="shared" si="1517"/>
        <v>4.3574999999999999</v>
      </c>
      <c r="O838" s="268">
        <f t="shared" si="1518"/>
        <v>235.30500000000001</v>
      </c>
      <c r="P838" s="23">
        <f t="shared" si="1526"/>
        <v>253.43500000000003</v>
      </c>
      <c r="Q838" s="268">
        <f t="shared" si="1527"/>
        <v>760.30500000000006</v>
      </c>
      <c r="R838" s="118"/>
    </row>
    <row r="839" spans="1:18" x14ac:dyDescent="0.35">
      <c r="A839" s="67" t="str">
        <f>IF(TRIM(G839)&lt;&gt;"",COUNTA(G$11:$G839)&amp;"","")</f>
        <v>523</v>
      </c>
      <c r="B839" s="311"/>
      <c r="C839" s="311"/>
      <c r="D839" s="30"/>
      <c r="E839" s="52" t="s">
        <v>383</v>
      </c>
      <c r="F839" s="69">
        <v>1</v>
      </c>
      <c r="G839" s="70" t="s">
        <v>211</v>
      </c>
      <c r="H839" s="21">
        <f t="shared" ref="H839:H842" si="1528">IF(F839=0,"",0)</f>
        <v>0</v>
      </c>
      <c r="I839" s="47">
        <f t="shared" ref="I839:I842" si="1529">IF(F839=0,"",F839+(F839*H839))</f>
        <v>1</v>
      </c>
      <c r="J839" s="265">
        <v>425</v>
      </c>
      <c r="K839" s="268">
        <f t="shared" ref="K839:K842" si="1530">IF(F839=0,"",J839*I839)</f>
        <v>425</v>
      </c>
      <c r="L839" s="258">
        <f t="shared" ref="L839:L842" si="1531">IF(F839=0,"",L$804)</f>
        <v>54</v>
      </c>
      <c r="M839" s="282">
        <v>3.5274999999999999</v>
      </c>
      <c r="N839" s="22">
        <f t="shared" ref="N839:N842" si="1532">IF(F839=0,"",M839*I839)</f>
        <v>3.5274999999999999</v>
      </c>
      <c r="O839" s="268">
        <f t="shared" ref="O839:O842" si="1533">IF(F839=0,"",N839*L839)</f>
        <v>190.48499999999999</v>
      </c>
      <c r="P839" s="23">
        <f t="shared" ref="P839:P842" si="1534">IF(F839=0,"",(K839+O839)/I839)</f>
        <v>615.48500000000001</v>
      </c>
      <c r="Q839" s="268">
        <f t="shared" ref="Q839:Q842" si="1535">IF(F839=0,"",(P839*I839))</f>
        <v>615.48500000000001</v>
      </c>
      <c r="R839" s="118"/>
    </row>
    <row r="840" spans="1:18" x14ac:dyDescent="0.35">
      <c r="A840" s="67" t="str">
        <f>IF(TRIM(G840)&lt;&gt;"",COUNTA(G$11:$G840)&amp;"","")</f>
        <v>524</v>
      </c>
      <c r="B840" s="311"/>
      <c r="C840" s="311"/>
      <c r="D840" s="30"/>
      <c r="E840" s="52" t="s">
        <v>384</v>
      </c>
      <c r="F840" s="69">
        <v>2</v>
      </c>
      <c r="G840" s="70" t="s">
        <v>211</v>
      </c>
      <c r="H840" s="21">
        <f t="shared" si="1528"/>
        <v>0</v>
      </c>
      <c r="I840" s="47">
        <f t="shared" si="1529"/>
        <v>2</v>
      </c>
      <c r="J840" s="265">
        <v>60</v>
      </c>
      <c r="K840" s="268">
        <f t="shared" si="1530"/>
        <v>120</v>
      </c>
      <c r="L840" s="258">
        <f t="shared" si="1531"/>
        <v>54</v>
      </c>
      <c r="M840" s="282">
        <v>0.498</v>
      </c>
      <c r="N840" s="22">
        <f t="shared" si="1532"/>
        <v>0.996</v>
      </c>
      <c r="O840" s="268">
        <f t="shared" si="1533"/>
        <v>53.783999999999999</v>
      </c>
      <c r="P840" s="23">
        <f t="shared" si="1534"/>
        <v>86.891999999999996</v>
      </c>
      <c r="Q840" s="268">
        <f t="shared" si="1535"/>
        <v>173.78399999999999</v>
      </c>
      <c r="R840" s="118"/>
    </row>
    <row r="841" spans="1:18" x14ac:dyDescent="0.35">
      <c r="A841" s="67" t="str">
        <f>IF(TRIM(G841)&lt;&gt;"",COUNTA(G$11:$G841)&amp;"","")</f>
        <v>525</v>
      </c>
      <c r="B841" s="311"/>
      <c r="C841" s="311"/>
      <c r="D841" s="30"/>
      <c r="E841" s="52" t="s">
        <v>385</v>
      </c>
      <c r="F841" s="69">
        <v>6</v>
      </c>
      <c r="G841" s="70" t="s">
        <v>211</v>
      </c>
      <c r="H841" s="21">
        <f t="shared" si="1528"/>
        <v>0</v>
      </c>
      <c r="I841" s="47">
        <f t="shared" si="1529"/>
        <v>6</v>
      </c>
      <c r="J841" s="265">
        <v>85</v>
      </c>
      <c r="K841" s="268">
        <f t="shared" si="1530"/>
        <v>510</v>
      </c>
      <c r="L841" s="258">
        <f t="shared" si="1531"/>
        <v>54</v>
      </c>
      <c r="M841" s="282">
        <v>0.70550000000000002</v>
      </c>
      <c r="N841" s="22">
        <f t="shared" si="1532"/>
        <v>4.2330000000000005</v>
      </c>
      <c r="O841" s="268">
        <f t="shared" si="1533"/>
        <v>228.58200000000002</v>
      </c>
      <c r="P841" s="23">
        <f t="shared" si="1534"/>
        <v>123.09699999999999</v>
      </c>
      <c r="Q841" s="268">
        <f t="shared" si="1535"/>
        <v>738.58199999999999</v>
      </c>
      <c r="R841" s="118"/>
    </row>
    <row r="842" spans="1:18" x14ac:dyDescent="0.35">
      <c r="A842" s="67" t="str">
        <f>IF(TRIM(G842)&lt;&gt;"",COUNTA(G$11:$G842)&amp;"","")</f>
        <v>526</v>
      </c>
      <c r="B842" s="312"/>
      <c r="C842" s="312"/>
      <c r="D842" s="30"/>
      <c r="E842" s="52" t="s">
        <v>386</v>
      </c>
      <c r="F842" s="69">
        <v>2</v>
      </c>
      <c r="G842" s="70" t="s">
        <v>211</v>
      </c>
      <c r="H842" s="21">
        <f t="shared" si="1528"/>
        <v>0</v>
      </c>
      <c r="I842" s="47">
        <f t="shared" si="1529"/>
        <v>2</v>
      </c>
      <c r="J842" s="265">
        <v>110</v>
      </c>
      <c r="K842" s="268">
        <f t="shared" si="1530"/>
        <v>220</v>
      </c>
      <c r="L842" s="258">
        <f t="shared" si="1531"/>
        <v>54</v>
      </c>
      <c r="M842" s="282">
        <v>0.91300000000000003</v>
      </c>
      <c r="N842" s="22">
        <f t="shared" si="1532"/>
        <v>1.8260000000000001</v>
      </c>
      <c r="O842" s="268">
        <f t="shared" si="1533"/>
        <v>98.603999999999999</v>
      </c>
      <c r="P842" s="23">
        <f t="shared" si="1534"/>
        <v>159.30199999999999</v>
      </c>
      <c r="Q842" s="268">
        <f t="shared" si="1535"/>
        <v>318.60399999999998</v>
      </c>
      <c r="R842" s="118"/>
    </row>
    <row r="843" spans="1:18" ht="15" thickBot="1" x14ac:dyDescent="0.4">
      <c r="A843" s="67" t="str">
        <f>IF(TRIM(G843)&lt;&gt;"",COUNTA(G$11:$G843)&amp;"","")</f>
        <v/>
      </c>
      <c r="B843" s="71"/>
      <c r="C843" s="71"/>
      <c r="D843" s="30"/>
      <c r="E843" s="72"/>
      <c r="F843" s="69"/>
      <c r="G843" s="70"/>
      <c r="H843" s="21" t="str">
        <f t="shared" si="1512"/>
        <v/>
      </c>
      <c r="I843" s="47" t="str">
        <f t="shared" si="1513"/>
        <v/>
      </c>
      <c r="J843" s="265" t="str">
        <f t="shared" si="1514"/>
        <v/>
      </c>
      <c r="K843" s="268" t="str">
        <f t="shared" si="1515"/>
        <v/>
      </c>
      <c r="L843" s="258" t="str">
        <f>IF(F843=0,"",L$804)</f>
        <v/>
      </c>
      <c r="M843" s="282" t="str">
        <f t="shared" si="1516"/>
        <v/>
      </c>
      <c r="N843" s="22" t="str">
        <f t="shared" si="1517"/>
        <v/>
      </c>
      <c r="O843" s="268" t="str">
        <f t="shared" si="1518"/>
        <v/>
      </c>
      <c r="P843" s="23" t="str">
        <f t="shared" si="1526"/>
        <v/>
      </c>
      <c r="Q843" s="268" t="str">
        <f t="shared" si="1527"/>
        <v/>
      </c>
      <c r="R843" s="118"/>
    </row>
    <row r="844" spans="1:18" s="2" customFormat="1" ht="16" thickBot="1" x14ac:dyDescent="0.4">
      <c r="A844" s="82" t="str">
        <f>IF(TRIM(G844)&lt;&gt;"",COUNTA(G$11:$G844)&amp;"","")</f>
        <v/>
      </c>
      <c r="B844" s="71"/>
      <c r="C844" s="71"/>
      <c r="D844" s="33"/>
      <c r="E844" s="18"/>
      <c r="F844" s="88"/>
      <c r="G844" s="89"/>
      <c r="H844" s="83" t="s">
        <v>12</v>
      </c>
      <c r="I844" s="84"/>
      <c r="J844" s="85">
        <f>SUM(K$805:K$843)</f>
        <v>21788.162637294699</v>
      </c>
      <c r="K844" s="327" t="s">
        <v>13</v>
      </c>
      <c r="L844" s="328"/>
      <c r="M844" s="284">
        <f>SUM(O$805:O$843)</f>
        <v>12018.182621147656</v>
      </c>
      <c r="N844" s="327" t="s">
        <v>42</v>
      </c>
      <c r="O844" s="328"/>
      <c r="P844" s="87">
        <f>SUM(N$805:N$843)</f>
        <v>226.25086779130106</v>
      </c>
      <c r="Q844" s="274" t="s">
        <v>205</v>
      </c>
      <c r="R844" s="86">
        <f>SUM(Q$805:Q$843)</f>
        <v>33806.34525844235</v>
      </c>
    </row>
    <row r="845" spans="1:18" ht="25" customHeight="1" thickBot="1" x14ac:dyDescent="0.4">
      <c r="A845" s="169" t="str">
        <f>IF(TRIM(G845)&lt;&gt;"",COUNTA(G$11:$G845)&amp;"","")</f>
        <v/>
      </c>
      <c r="B845" s="170"/>
      <c r="C845" s="171" t="s">
        <v>144</v>
      </c>
      <c r="D845" s="180" t="s">
        <v>129</v>
      </c>
      <c r="E845" s="180" t="s">
        <v>143</v>
      </c>
      <c r="F845" s="181"/>
      <c r="G845" s="172"/>
      <c r="H845" s="170"/>
      <c r="I845" s="172"/>
      <c r="J845" s="263"/>
      <c r="K845" s="263"/>
      <c r="L845" s="257">
        <v>54</v>
      </c>
      <c r="M845" s="280"/>
      <c r="N845" s="170"/>
      <c r="O845" s="263"/>
      <c r="P845" s="170"/>
      <c r="Q845" s="263"/>
      <c r="R845" s="173"/>
    </row>
    <row r="846" spans="1:18" s="17" customFormat="1" ht="19.25" customHeight="1" x14ac:dyDescent="0.35">
      <c r="A846" s="67" t="str">
        <f>IF(TRIM(G846)&lt;&gt;"",COUNTA(G$11:$G846)&amp;"","")</f>
        <v/>
      </c>
      <c r="B846" s="29"/>
      <c r="C846" s="29"/>
      <c r="D846" s="193" t="s">
        <v>131</v>
      </c>
      <c r="E846" s="191" t="s">
        <v>130</v>
      </c>
      <c r="F846" s="69"/>
      <c r="G846" s="70"/>
      <c r="H846" s="21" t="str">
        <f t="shared" ref="H846:H848" si="1536">IF(F846=0,"",0)</f>
        <v/>
      </c>
      <c r="I846" s="47" t="str">
        <f t="shared" ref="I846:I848" si="1537">IF(F846=0,"",F846+(F846*H846))</f>
        <v/>
      </c>
      <c r="J846" s="265" t="str">
        <f t="shared" ref="J846:J848" si="1538">IF(F846=0,"",0)</f>
        <v/>
      </c>
      <c r="K846" s="268" t="str">
        <f t="shared" ref="K846:K848" si="1539">IF(F846=0,"",J846*I846)</f>
        <v/>
      </c>
      <c r="L846" s="258" t="str">
        <f>IF(F846=0,"",L$845)</f>
        <v/>
      </c>
      <c r="M846" s="282" t="str">
        <f t="shared" ref="M846:M848" si="1540">IF(F846=0,"",0)</f>
        <v/>
      </c>
      <c r="N846" s="22" t="str">
        <f t="shared" ref="N846:N848" si="1541">IF(F846=0,"",M846*I846)</f>
        <v/>
      </c>
      <c r="O846" s="268" t="str">
        <f t="shared" ref="O846:O848" si="1542">IF(F846=0,"",N846*L846)</f>
        <v/>
      </c>
      <c r="P846" s="23" t="str">
        <f t="shared" ref="P846:P848" si="1543">IF(F846=0,"",(K846+O846)/I846)</f>
        <v/>
      </c>
      <c r="Q846" s="268" t="str">
        <f t="shared" ref="Q846:Q848" si="1544">IF(F846=0,"",(P846*I846))</f>
        <v/>
      </c>
      <c r="R846" s="120"/>
    </row>
    <row r="847" spans="1:18" x14ac:dyDescent="0.35">
      <c r="A847" s="67" t="str">
        <f>IF(TRIM(G847)&lt;&gt;"",COUNTA(G$11:$G847)&amp;"","")</f>
        <v>527</v>
      </c>
      <c r="B847" s="29" t="s">
        <v>629</v>
      </c>
      <c r="C847" s="29" t="s">
        <v>629</v>
      </c>
      <c r="D847" s="30"/>
      <c r="E847" s="52" t="s">
        <v>381</v>
      </c>
      <c r="F847" s="69">
        <v>1</v>
      </c>
      <c r="G847" s="70" t="s">
        <v>211</v>
      </c>
      <c r="H847" s="21">
        <f t="shared" si="1536"/>
        <v>0</v>
      </c>
      <c r="I847" s="47">
        <f t="shared" si="1537"/>
        <v>1</v>
      </c>
      <c r="J847" s="265">
        <v>1200</v>
      </c>
      <c r="K847" s="268">
        <f t="shared" si="1539"/>
        <v>1200</v>
      </c>
      <c r="L847" s="258">
        <f>IF(F847=0,"",L$845)</f>
        <v>54</v>
      </c>
      <c r="M847" s="282">
        <v>6</v>
      </c>
      <c r="N847" s="22">
        <f t="shared" si="1541"/>
        <v>6</v>
      </c>
      <c r="O847" s="268">
        <f t="shared" si="1542"/>
        <v>324</v>
      </c>
      <c r="P847" s="23">
        <f t="shared" si="1543"/>
        <v>1524</v>
      </c>
      <c r="Q847" s="268">
        <f t="shared" si="1544"/>
        <v>1524</v>
      </c>
      <c r="R847" s="118"/>
    </row>
    <row r="848" spans="1:18" ht="15" thickBot="1" x14ac:dyDescent="0.4">
      <c r="A848" s="67" t="str">
        <f>IF(TRIM(G848)&lt;&gt;"",COUNTA(G$10:$G848)&amp;"","")</f>
        <v/>
      </c>
      <c r="B848" s="71"/>
      <c r="C848" s="71"/>
      <c r="D848" s="30"/>
      <c r="E848" s="72"/>
      <c r="F848" s="69"/>
      <c r="G848" s="70"/>
      <c r="H848" s="21" t="str">
        <f t="shared" si="1536"/>
        <v/>
      </c>
      <c r="I848" s="47" t="str">
        <f t="shared" si="1537"/>
        <v/>
      </c>
      <c r="J848" s="265" t="str">
        <f t="shared" si="1538"/>
        <v/>
      </c>
      <c r="K848" s="268" t="str">
        <f t="shared" si="1539"/>
        <v/>
      </c>
      <c r="L848" s="258" t="str">
        <f>IF(F848=0,"",L$845)</f>
        <v/>
      </c>
      <c r="M848" s="282" t="str">
        <f t="shared" si="1540"/>
        <v/>
      </c>
      <c r="N848" s="22" t="str">
        <f t="shared" si="1541"/>
        <v/>
      </c>
      <c r="O848" s="268" t="str">
        <f t="shared" si="1542"/>
        <v/>
      </c>
      <c r="P848" s="23" t="str">
        <f t="shared" si="1543"/>
        <v/>
      </c>
      <c r="Q848" s="268" t="str">
        <f t="shared" si="1544"/>
        <v/>
      </c>
      <c r="R848" s="118"/>
    </row>
    <row r="849" spans="1:18" s="2" customFormat="1" ht="16" thickBot="1" x14ac:dyDescent="0.4">
      <c r="A849" s="67" t="str">
        <f>IF(TRIM(G849)&lt;&gt;"",COUNTA(G$10:$G849)&amp;"","")</f>
        <v/>
      </c>
      <c r="B849" s="1"/>
      <c r="C849" s="1"/>
      <c r="D849" s="19"/>
      <c r="E849" s="18"/>
      <c r="F849" s="45"/>
      <c r="G849" s="46"/>
      <c r="H849" s="79" t="s">
        <v>12</v>
      </c>
      <c r="I849" s="80"/>
      <c r="J849" s="40">
        <f>SUM(K$846:K$848)</f>
        <v>1200</v>
      </c>
      <c r="K849" s="331" t="s">
        <v>13</v>
      </c>
      <c r="L849" s="332"/>
      <c r="M849" s="283">
        <f>SUM(O$846:O$848)</f>
        <v>324</v>
      </c>
      <c r="N849" s="331" t="s">
        <v>42</v>
      </c>
      <c r="O849" s="332"/>
      <c r="P849" s="42">
        <f>SUM(N$846:N$848)</f>
        <v>6</v>
      </c>
      <c r="Q849" s="273" t="s">
        <v>205</v>
      </c>
      <c r="R849" s="41">
        <f>SUM(Q$846:Q$848)</f>
        <v>1524</v>
      </c>
    </row>
    <row r="850" spans="1:18" ht="15" thickBot="1" x14ac:dyDescent="0.4">
      <c r="A850" s="121" t="str">
        <f>IF(TRIM(G850)&lt;&gt;"",COUNTA(G$10:$G850)&amp;"","")</f>
        <v/>
      </c>
      <c r="B850" s="122"/>
      <c r="C850" s="122"/>
      <c r="D850" s="123"/>
      <c r="E850" s="124"/>
      <c r="F850" s="125"/>
      <c r="G850" s="126"/>
      <c r="H850" s="127" t="str">
        <f>IF(F850=0,"",0)</f>
        <v/>
      </c>
      <c r="I850" s="128" t="str">
        <f t="shared" ref="I850" si="1545">IF(F850=0,"",F850+(F850*H850))</f>
        <v/>
      </c>
      <c r="J850" s="266" t="str">
        <f>IF(F850=0,"",0)</f>
        <v/>
      </c>
      <c r="K850" s="269" t="str">
        <f>IF(F850=0,"",J850*I850)</f>
        <v/>
      </c>
      <c r="L850" s="260" t="str">
        <f>IF(F850=0,"",#REF!)</f>
        <v/>
      </c>
      <c r="M850" s="287" t="str">
        <f>IF(F850=0,"",0)</f>
        <v/>
      </c>
      <c r="N850" s="129" t="str">
        <f>IF(F850=0,"",M850*I850)</f>
        <v/>
      </c>
      <c r="O850" s="269" t="str">
        <f>IF(F850=0,"",N850*L850)</f>
        <v/>
      </c>
      <c r="P850" s="130" t="str">
        <f>IF(F850=0,"",K850+O850)</f>
        <v/>
      </c>
      <c r="Q850" s="275"/>
      <c r="R850" s="131"/>
    </row>
    <row r="851" spans="1:18" s="2" customFormat="1" ht="20" customHeight="1" thickBot="1" x14ac:dyDescent="0.4">
      <c r="A851" s="147" t="str">
        <f>IF(TRIM(G851)&lt;&gt;"",COUNTA(G$10:$G851)&amp;"","")</f>
        <v/>
      </c>
      <c r="B851" s="139"/>
      <c r="C851" s="148"/>
      <c r="D851" s="139"/>
      <c r="E851" s="144"/>
      <c r="F851" s="140"/>
      <c r="G851" s="140"/>
      <c r="H851" s="342" t="s">
        <v>174</v>
      </c>
      <c r="I851" s="343"/>
      <c r="J851" s="195">
        <f>SUM(K$10:K$850)</f>
        <v>236221.2113902561</v>
      </c>
      <c r="K851" s="344" t="s">
        <v>175</v>
      </c>
      <c r="L851" s="345"/>
      <c r="M851" s="288">
        <f>SUM(O$10:O$850)</f>
        <v>147519.90957652271</v>
      </c>
      <c r="N851" s="344" t="s">
        <v>176</v>
      </c>
      <c r="O851" s="345"/>
      <c r="P851" s="197">
        <f>SUM(N$10:N$850)</f>
        <v>2802.3772818988932</v>
      </c>
      <c r="Q851" s="276" t="s">
        <v>206</v>
      </c>
      <c r="R851" s="196">
        <f>SUM(Q$9:Q$850)</f>
        <v>383741.12096677825</v>
      </c>
    </row>
    <row r="852" spans="1:18" ht="15" thickBot="1" x14ac:dyDescent="0.4">
      <c r="A852" s="146" t="str">
        <f>IF(TRIM(G852)&lt;&gt;"",COUNTA(G$10:$G852)&amp;"","")</f>
        <v/>
      </c>
      <c r="B852" s="145"/>
      <c r="C852" s="145"/>
      <c r="D852" s="132"/>
      <c r="E852" s="143"/>
      <c r="F852" s="133"/>
      <c r="G852" s="134"/>
      <c r="H852" s="141" t="str">
        <f>IF(F852=0,"",0)</f>
        <v/>
      </c>
      <c r="I852" s="142" t="str">
        <f t="shared" ref="I852" si="1546">IF(F852=0,"",F852+(F852*H852))</f>
        <v/>
      </c>
      <c r="J852" s="267" t="str">
        <f>IF(F852=0,"",0)</f>
        <v/>
      </c>
      <c r="K852" s="270" t="str">
        <f>IF(F852=0,"",J852*I852)</f>
        <v/>
      </c>
      <c r="L852" s="261" t="str">
        <f>IF(F852=0,"",#REF!)</f>
        <v/>
      </c>
      <c r="M852" s="289" t="str">
        <f>IF(F852=0,"",0)</f>
        <v/>
      </c>
      <c r="N852" s="135" t="str">
        <f>IF(F852=0,"",M852*I852)</f>
        <v/>
      </c>
      <c r="O852" s="270" t="str">
        <f>IF(F852=0,"",N852*L852)</f>
        <v/>
      </c>
      <c r="P852" s="136" t="str">
        <f>IF(F852=0,"",K852+O852)</f>
        <v/>
      </c>
      <c r="Q852" s="270"/>
      <c r="R852" s="137"/>
    </row>
    <row r="853" spans="1:18" ht="20.149999999999999" customHeight="1" thickBot="1" x14ac:dyDescent="0.4">
      <c r="A853" s="339" t="s">
        <v>25</v>
      </c>
      <c r="B853" s="340"/>
      <c r="C853" s="340"/>
      <c r="D853" s="340"/>
      <c r="E853" s="340"/>
      <c r="F853" s="340"/>
      <c r="G853" s="340"/>
      <c r="H853" s="340"/>
      <c r="I853" s="340"/>
      <c r="J853" s="340"/>
      <c r="K853" s="340"/>
      <c r="L853" s="340"/>
      <c r="M853" s="340"/>
      <c r="N853" s="340"/>
      <c r="O853" s="340"/>
      <c r="P853" s="340"/>
      <c r="Q853" s="341"/>
      <c r="R853" s="221">
        <f>SUM(K$10:$K$852)</f>
        <v>236221.2113902561</v>
      </c>
    </row>
    <row r="854" spans="1:18" ht="20.149999999999999" customHeight="1" thickBot="1" x14ac:dyDescent="0.4">
      <c r="A854" s="339" t="s">
        <v>26</v>
      </c>
      <c r="B854" s="340"/>
      <c r="C854" s="340"/>
      <c r="D854" s="340"/>
      <c r="E854" s="340"/>
      <c r="F854" s="340"/>
      <c r="G854" s="340"/>
      <c r="H854" s="340"/>
      <c r="I854" s="340"/>
      <c r="J854" s="340"/>
      <c r="K854" s="340"/>
      <c r="L854" s="340"/>
      <c r="M854" s="340"/>
      <c r="N854" s="340"/>
      <c r="O854" s="340"/>
      <c r="P854" s="340"/>
      <c r="Q854" s="341"/>
      <c r="R854" s="221">
        <f>SUM(O$10:O$852)</f>
        <v>147519.90957652271</v>
      </c>
    </row>
    <row r="855" spans="1:18" ht="20.149999999999999" customHeight="1" thickBot="1" x14ac:dyDescent="0.4">
      <c r="A855" s="339" t="s">
        <v>167</v>
      </c>
      <c r="B855" s="340"/>
      <c r="C855" s="340"/>
      <c r="D855" s="340"/>
      <c r="E855" s="340"/>
      <c r="F855" s="340"/>
      <c r="G855" s="340"/>
      <c r="H855" s="340"/>
      <c r="I855" s="340"/>
      <c r="J855" s="340"/>
      <c r="K855" s="340"/>
      <c r="L855" s="340"/>
      <c r="M855" s="340"/>
      <c r="N855" s="340"/>
      <c r="O855" s="340"/>
      <c r="P855" s="340"/>
      <c r="Q855" s="341"/>
      <c r="R855" s="222">
        <f>SUM(N$10:N$852)</f>
        <v>2802.3772818988932</v>
      </c>
    </row>
    <row r="856" spans="1:18" ht="19" customHeight="1" x14ac:dyDescent="0.35">
      <c r="A856" s="160"/>
      <c r="B856" s="161"/>
      <c r="C856" s="162"/>
      <c r="D856" s="163"/>
      <c r="E856" s="164"/>
      <c r="F856" s="165"/>
      <c r="G856" s="166"/>
      <c r="H856" s="165"/>
      <c r="I856" s="165"/>
      <c r="J856" s="262"/>
      <c r="K856" s="262"/>
      <c r="L856" s="262"/>
      <c r="M856" s="290"/>
      <c r="N856" s="165"/>
      <c r="O856" s="262"/>
      <c r="P856" s="165"/>
      <c r="Q856" s="262"/>
      <c r="R856" s="165"/>
    </row>
    <row r="857" spans="1:18" ht="18.5" x14ac:dyDescent="0.35">
      <c r="A857" s="162"/>
      <c r="B857" s="198" t="s">
        <v>132</v>
      </c>
      <c r="C857" s="162"/>
      <c r="D857" s="163"/>
      <c r="E857" s="338"/>
      <c r="F857" s="338"/>
      <c r="G857" s="338"/>
      <c r="H857" s="338"/>
      <c r="I857" s="338"/>
      <c r="J857" s="338"/>
      <c r="K857" s="338"/>
      <c r="L857" s="338"/>
      <c r="M857" s="338"/>
      <c r="N857" s="338"/>
      <c r="O857" s="338"/>
      <c r="P857" s="338"/>
      <c r="Q857" s="338"/>
      <c r="R857" s="338"/>
    </row>
    <row r="858" spans="1:18" s="43" customFormat="1" ht="18.75" customHeight="1" x14ac:dyDescent="0.35">
      <c r="A858" s="90">
        <v>1</v>
      </c>
      <c r="B858" s="325" t="s">
        <v>188</v>
      </c>
      <c r="C858" s="325"/>
      <c r="D858" s="325"/>
      <c r="E858" s="325"/>
      <c r="F858" s="325"/>
      <c r="G858" s="325"/>
      <c r="H858" s="325"/>
      <c r="I858" s="325"/>
      <c r="J858" s="325"/>
      <c r="K858" s="325"/>
      <c r="L858" s="325"/>
      <c r="M858" s="325"/>
      <c r="N858" s="325"/>
      <c r="O858" s="325"/>
      <c r="P858" s="325"/>
      <c r="Q858" s="325"/>
      <c r="R858" s="326"/>
    </row>
    <row r="859" spans="1:18" s="43" customFormat="1" ht="18" customHeight="1" x14ac:dyDescent="0.35">
      <c r="A859" s="90">
        <v>2</v>
      </c>
      <c r="B859" s="325" t="s">
        <v>192</v>
      </c>
      <c r="C859" s="325"/>
      <c r="D859" s="325"/>
      <c r="E859" s="325"/>
      <c r="F859" s="325"/>
      <c r="G859" s="325"/>
      <c r="H859" s="325"/>
      <c r="I859" s="325"/>
      <c r="J859" s="325"/>
      <c r="K859" s="325"/>
      <c r="L859" s="325"/>
      <c r="M859" s="325"/>
      <c r="N859" s="325"/>
      <c r="O859" s="325"/>
      <c r="P859" s="325"/>
      <c r="Q859" s="325"/>
      <c r="R859" s="326"/>
    </row>
    <row r="860" spans="1:18" s="43" customFormat="1" ht="18" customHeight="1" x14ac:dyDescent="0.35">
      <c r="A860" s="90">
        <v>3</v>
      </c>
      <c r="B860" s="325" t="s">
        <v>134</v>
      </c>
      <c r="C860" s="325"/>
      <c r="D860" s="325"/>
      <c r="E860" s="325"/>
      <c r="F860" s="325"/>
      <c r="G860" s="325"/>
      <c r="H860" s="325"/>
      <c r="I860" s="325"/>
      <c r="J860" s="325"/>
      <c r="K860" s="325"/>
      <c r="L860" s="325"/>
      <c r="M860" s="325"/>
      <c r="N860" s="325"/>
      <c r="O860" s="325"/>
      <c r="P860" s="325"/>
      <c r="Q860" s="325"/>
      <c r="R860" s="326"/>
    </row>
    <row r="861" spans="1:18" s="43" customFormat="1" ht="18" customHeight="1" x14ac:dyDescent="0.35">
      <c r="A861" s="90">
        <v>4</v>
      </c>
      <c r="B861" s="325" t="s">
        <v>189</v>
      </c>
      <c r="C861" s="325"/>
      <c r="D861" s="325"/>
      <c r="E861" s="325"/>
      <c r="F861" s="325"/>
      <c r="G861" s="325"/>
      <c r="H861" s="325"/>
      <c r="I861" s="325"/>
      <c r="J861" s="325"/>
      <c r="K861" s="325"/>
      <c r="L861" s="325"/>
      <c r="M861" s="325"/>
      <c r="N861" s="325"/>
      <c r="O861" s="325"/>
      <c r="P861" s="325"/>
      <c r="Q861" s="325"/>
      <c r="R861" s="326"/>
    </row>
    <row r="862" spans="1:18" ht="15" thickBot="1" x14ac:dyDescent="0.4">
      <c r="A862" s="34"/>
      <c r="B862" s="355"/>
      <c r="C862" s="355"/>
      <c r="D862" s="355"/>
      <c r="E862" s="355"/>
      <c r="F862" s="355"/>
      <c r="G862" s="355"/>
      <c r="H862" s="355"/>
      <c r="I862" s="355"/>
      <c r="J862" s="355"/>
      <c r="K862" s="355"/>
      <c r="L862" s="355"/>
      <c r="M862" s="355"/>
      <c r="N862" s="355"/>
      <c r="O862" s="355"/>
      <c r="P862" s="355"/>
      <c r="Q862" s="355"/>
      <c r="R862" s="356"/>
    </row>
  </sheetData>
  <mergeCells count="103">
    <mergeCell ref="A1:D5"/>
    <mergeCell ref="B861:R861"/>
    <mergeCell ref="B862:R862"/>
    <mergeCell ref="E2:L2"/>
    <mergeCell ref="M1:N1"/>
    <mergeCell ref="E1:L1"/>
    <mergeCell ref="M2:N2"/>
    <mergeCell ref="M4:N4"/>
    <mergeCell ref="F5:L5"/>
    <mergeCell ref="F3:L3"/>
    <mergeCell ref="F4:L4"/>
    <mergeCell ref="N739:O739"/>
    <mergeCell ref="K744:L744"/>
    <mergeCell ref="N744:O744"/>
    <mergeCell ref="B860:R860"/>
    <mergeCell ref="N849:O849"/>
    <mergeCell ref="K763:L763"/>
    <mergeCell ref="N763:O763"/>
    <mergeCell ref="K755:L755"/>
    <mergeCell ref="N755:O755"/>
    <mergeCell ref="K718:L718"/>
    <mergeCell ref="K739:L739"/>
    <mergeCell ref="K723:L723"/>
    <mergeCell ref="N723:O723"/>
    <mergeCell ref="B859:R859"/>
    <mergeCell ref="E857:R857"/>
    <mergeCell ref="A853:Q853"/>
    <mergeCell ref="A854:Q854"/>
    <mergeCell ref="A855:Q855"/>
    <mergeCell ref="H851:I851"/>
    <mergeCell ref="K849:L849"/>
    <mergeCell ref="K844:L844"/>
    <mergeCell ref="N844:O844"/>
    <mergeCell ref="K851:L851"/>
    <mergeCell ref="N851:O851"/>
    <mergeCell ref="M3:N3"/>
    <mergeCell ref="O1:R1"/>
    <mergeCell ref="O2:R2"/>
    <mergeCell ref="O3:R3"/>
    <mergeCell ref="O4:R4"/>
    <mergeCell ref="K201:L201"/>
    <mergeCell ref="K27:L27"/>
    <mergeCell ref="K211:L211"/>
    <mergeCell ref="N211:O211"/>
    <mergeCell ref="N201:O201"/>
    <mergeCell ref="A6:F6"/>
    <mergeCell ref="H6:K6"/>
    <mergeCell ref="L6:Q6"/>
    <mergeCell ref="O5:R5"/>
    <mergeCell ref="B858:R858"/>
    <mergeCell ref="K713:L713"/>
    <mergeCell ref="N713:O713"/>
    <mergeCell ref="K462:L462"/>
    <mergeCell ref="N462:O462"/>
    <mergeCell ref="N718:O718"/>
    <mergeCell ref="M5:N5"/>
    <mergeCell ref="N19:O19"/>
    <mergeCell ref="K19:L19"/>
    <mergeCell ref="K490:L490"/>
    <mergeCell ref="N490:O490"/>
    <mergeCell ref="N27:O27"/>
    <mergeCell ref="K427:L427"/>
    <mergeCell ref="N427:O427"/>
    <mergeCell ref="K230:L230"/>
    <mergeCell ref="N230:O230"/>
    <mergeCell ref="K803:L803"/>
    <mergeCell ref="N803:O803"/>
    <mergeCell ref="K792:L792"/>
    <mergeCell ref="N792:O792"/>
    <mergeCell ref="B182:B199"/>
    <mergeCell ref="C182:C199"/>
    <mergeCell ref="B204:B209"/>
    <mergeCell ref="C204:C209"/>
    <mergeCell ref="B215:B228"/>
    <mergeCell ref="C215:C228"/>
    <mergeCell ref="B23:B25"/>
    <mergeCell ref="C23:C25"/>
    <mergeCell ref="B31:B125"/>
    <mergeCell ref="C31:C125"/>
    <mergeCell ref="B128:B179"/>
    <mergeCell ref="C128:C179"/>
    <mergeCell ref="B494:B665"/>
    <mergeCell ref="C494:C665"/>
    <mergeCell ref="B667:B711"/>
    <mergeCell ref="C667:C711"/>
    <mergeCell ref="B726:B737"/>
    <mergeCell ref="C726:C737"/>
    <mergeCell ref="B234:B425"/>
    <mergeCell ref="C234:C425"/>
    <mergeCell ref="B430:B460"/>
    <mergeCell ref="C430:C460"/>
    <mergeCell ref="B465:B488"/>
    <mergeCell ref="C465:C488"/>
    <mergeCell ref="B796:B800"/>
    <mergeCell ref="C796:C800"/>
    <mergeCell ref="B806:B842"/>
    <mergeCell ref="C806:C842"/>
    <mergeCell ref="B748:B753"/>
    <mergeCell ref="C748:C753"/>
    <mergeCell ref="B758:B761"/>
    <mergeCell ref="C758:C761"/>
    <mergeCell ref="B766:B790"/>
    <mergeCell ref="C766:C790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74CEC2E-8330-44D7-B35A-89587E2581F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Recap &amp; Summary</vt:lpstr>
      <vt:lpstr>Worksheet</vt:lpstr>
      <vt:lpstr>'Bid Recap &amp; Summary'!Print_Area</vt:lpstr>
      <vt:lpstr>Worksheet!Print_Area</vt:lpstr>
      <vt:lpstr>Worksheet!Print_Titles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{F74CEC2E-8330-44D7-B35A-89587E2581F4}</vt:lpwstr>
  </property>
</Properties>
</file>