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sample estimate\"/>
    </mc:Choice>
  </mc:AlternateContent>
  <xr:revisionPtr revIDLastSave="0" documentId="13_ncr:1_{1A7137E7-343F-4D28-BFDE-CD65882EA6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neral Summary" sheetId="4" r:id="rId1"/>
    <sheet name="Takeoff Breakdown" sheetId="1" r:id="rId2"/>
    <sheet name="Alt #1" sheetId="5" r:id="rId3"/>
  </sheets>
  <definedNames>
    <definedName name="_xlnm._FilterDatabase" localSheetId="2" hidden="1">'Alt #1'!$L$1:$L$45</definedName>
    <definedName name="_xlnm._FilterDatabase" localSheetId="1" hidden="1">'Takeoff Breakdown'!$L$1:$L$55</definedName>
    <definedName name="_xlnm.Print_Area" localSheetId="2">'Alt #1'!$A$2:$O$45</definedName>
    <definedName name="_xlnm.Print_Area" localSheetId="0">'General Summary'!$A$1:$O$21</definedName>
    <definedName name="_xlnm.Print_Area" localSheetId="1">'Takeoff Breakdown'!$A$2:$O$55</definedName>
    <definedName name="_xlnm.Print_Titles" localSheetId="2">'Alt #1'!$1:$9</definedName>
    <definedName name="_xlnm.Print_Titles" localSheetId="1">'Takeoff Breakdown'!$1:$9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8" i="1" l="1"/>
  <c r="K24" i="1"/>
  <c r="H24" i="1"/>
  <c r="J24" i="1" s="1"/>
  <c r="N24" i="1" s="1"/>
  <c r="A34" i="1"/>
  <c r="A35" i="1"/>
  <c r="A36" i="5"/>
  <c r="A35" i="5"/>
  <c r="A34" i="5"/>
  <c r="J33" i="5"/>
  <c r="L33" i="5" s="1"/>
  <c r="G33" i="5"/>
  <c r="J32" i="5"/>
  <c r="G32" i="5"/>
  <c r="M32" i="5" s="1"/>
  <c r="A31" i="5"/>
  <c r="A30" i="5"/>
  <c r="A29" i="5"/>
  <c r="A28" i="5"/>
  <c r="A27" i="5"/>
  <c r="O26" i="5"/>
  <c r="K25" i="5"/>
  <c r="H25" i="5"/>
  <c r="J25" i="5" s="1"/>
  <c r="G25" i="5"/>
  <c r="K24" i="5"/>
  <c r="H24" i="5"/>
  <c r="J24" i="5" s="1"/>
  <c r="G24" i="5"/>
  <c r="A23" i="5"/>
  <c r="A22" i="5"/>
  <c r="A21" i="5"/>
  <c r="A20" i="5"/>
  <c r="A19" i="5"/>
  <c r="G18" i="5"/>
  <c r="G17" i="5"/>
  <c r="G16" i="5"/>
  <c r="G15" i="5"/>
  <c r="G14" i="5"/>
  <c r="G13" i="5"/>
  <c r="G12" i="5"/>
  <c r="A12" i="5"/>
  <c r="O8" i="5"/>
  <c r="J35" i="1"/>
  <c r="N35" i="1"/>
  <c r="O35" i="1" s="1"/>
  <c r="J34" i="1"/>
  <c r="G35" i="1"/>
  <c r="M35" i="1" s="1"/>
  <c r="G34" i="1"/>
  <c r="M34" i="1" s="1"/>
  <c r="G24" i="1"/>
  <c r="M24" i="1" s="1"/>
  <c r="O36" i="1"/>
  <c r="K33" i="1"/>
  <c r="K32" i="1"/>
  <c r="K31" i="1"/>
  <c r="K30" i="1"/>
  <c r="K29" i="1"/>
  <c r="K28" i="1"/>
  <c r="K27" i="1"/>
  <c r="K26" i="1"/>
  <c r="K25" i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J43" i="1"/>
  <c r="J42" i="1"/>
  <c r="N42" i="1" s="1"/>
  <c r="G26" i="1"/>
  <c r="G27" i="1"/>
  <c r="G28" i="1"/>
  <c r="G29" i="1"/>
  <c r="G30" i="1"/>
  <c r="G31" i="1"/>
  <c r="G32" i="1"/>
  <c r="G33" i="1"/>
  <c r="A38" i="1"/>
  <c r="A37" i="1"/>
  <c r="G25" i="1"/>
  <c r="A23" i="1"/>
  <c r="A22" i="1"/>
  <c r="A21" i="1"/>
  <c r="G43" i="1"/>
  <c r="M43" i="1" s="1"/>
  <c r="G42" i="1"/>
  <c r="M42" i="1" s="1"/>
  <c r="L35" i="1" l="1"/>
  <c r="O24" i="1"/>
  <c r="L24" i="1"/>
  <c r="N33" i="5"/>
  <c r="L34" i="1"/>
  <c r="L25" i="5"/>
  <c r="O33" i="5"/>
  <c r="L24" i="5"/>
  <c r="M25" i="5"/>
  <c r="N25" i="5"/>
  <c r="O25" i="5" s="1"/>
  <c r="M33" i="5"/>
  <c r="M35" i="5" s="1"/>
  <c r="A13" i="5"/>
  <c r="N24" i="5"/>
  <c r="O24" i="5" s="1"/>
  <c r="M24" i="5"/>
  <c r="M12" i="5"/>
  <c r="M13" i="5"/>
  <c r="M14" i="5"/>
  <c r="M15" i="5"/>
  <c r="M16" i="5"/>
  <c r="M17" i="5"/>
  <c r="M18" i="5"/>
  <c r="N32" i="5"/>
  <c r="O32" i="5" s="1"/>
  <c r="L32" i="5"/>
  <c r="L35" i="5" s="1"/>
  <c r="N34" i="1"/>
  <c r="O34" i="1" s="1"/>
  <c r="M27" i="1"/>
  <c r="L30" i="1"/>
  <c r="L31" i="1"/>
  <c r="M30" i="1"/>
  <c r="N32" i="1"/>
  <c r="O32" i="1" s="1"/>
  <c r="L43" i="1"/>
  <c r="M31" i="1"/>
  <c r="L26" i="1"/>
  <c r="O42" i="1"/>
  <c r="M26" i="1"/>
  <c r="N43" i="1"/>
  <c r="O43" i="1" s="1"/>
  <c r="M33" i="1"/>
  <c r="M29" i="1"/>
  <c r="N28" i="1"/>
  <c r="O28" i="1" s="1"/>
  <c r="N25" i="1"/>
  <c r="O25" i="1" s="1"/>
  <c r="M25" i="1"/>
  <c r="N30" i="1"/>
  <c r="O30" i="1" s="1"/>
  <c r="L42" i="1"/>
  <c r="N26" i="1"/>
  <c r="O26" i="1" s="1"/>
  <c r="L33" i="1"/>
  <c r="L29" i="1"/>
  <c r="M32" i="1"/>
  <c r="L32" i="1"/>
  <c r="M28" i="1"/>
  <c r="L28" i="1"/>
  <c r="L27" i="1"/>
  <c r="N33" i="1"/>
  <c r="O33" i="1" s="1"/>
  <c r="N31" i="1"/>
  <c r="O31" i="1" s="1"/>
  <c r="N29" i="1"/>
  <c r="O29" i="1" s="1"/>
  <c r="N27" i="1"/>
  <c r="O27" i="1" s="1"/>
  <c r="L25" i="1"/>
  <c r="B9" i="4"/>
  <c r="A41" i="1"/>
  <c r="M28" i="5" l="1"/>
  <c r="O28" i="5"/>
  <c r="M20" i="5"/>
  <c r="L28" i="5"/>
  <c r="O35" i="5"/>
  <c r="P11" i="5" s="1"/>
  <c r="A14" i="5"/>
  <c r="A15" i="5" s="1"/>
  <c r="E13" i="4"/>
  <c r="F13" i="4" s="1"/>
  <c r="M38" i="1"/>
  <c r="D13" i="4" s="1"/>
  <c r="L38" i="1"/>
  <c r="C13" i="4" s="1"/>
  <c r="M45" i="1"/>
  <c r="D14" i="4" s="1"/>
  <c r="L45" i="1"/>
  <c r="C14" i="4" s="1"/>
  <c r="O45" i="1"/>
  <c r="E14" i="4" s="1"/>
  <c r="A19" i="1"/>
  <c r="A20" i="1"/>
  <c r="A39" i="1"/>
  <c r="A40" i="1"/>
  <c r="A45" i="1"/>
  <c r="B7" i="4"/>
  <c r="H18" i="5" l="1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A16" i="5"/>
  <c r="A17" i="5" s="1"/>
  <c r="O8" i="1"/>
  <c r="N12" i="5" l="1"/>
  <c r="O12" i="5" s="1"/>
  <c r="L12" i="5"/>
  <c r="N16" i="5"/>
  <c r="O16" i="5" s="1"/>
  <c r="L16" i="5"/>
  <c r="N13" i="5"/>
  <c r="O13" i="5" s="1"/>
  <c r="L13" i="5"/>
  <c r="N17" i="5"/>
  <c r="O17" i="5" s="1"/>
  <c r="L17" i="5"/>
  <c r="N14" i="5"/>
  <c r="O14" i="5" s="1"/>
  <c r="L14" i="5"/>
  <c r="N18" i="5"/>
  <c r="O18" i="5" s="1"/>
  <c r="L18" i="5"/>
  <c r="A18" i="5"/>
  <c r="N15" i="5"/>
  <c r="O15" i="5" s="1"/>
  <c r="L15" i="5"/>
  <c r="G18" i="1"/>
  <c r="M18" i="1" s="1"/>
  <c r="G17" i="1"/>
  <c r="M17" i="1" s="1"/>
  <c r="G16" i="1"/>
  <c r="M16" i="1" s="1"/>
  <c r="G15" i="1"/>
  <c r="M15" i="1" s="1"/>
  <c r="G14" i="1"/>
  <c r="M14" i="1" s="1"/>
  <c r="G13" i="1"/>
  <c r="M13" i="1" s="1"/>
  <c r="G12" i="1"/>
  <c r="M12" i="1" s="1"/>
  <c r="A12" i="1"/>
  <c r="L20" i="5" l="1"/>
  <c r="A24" i="5"/>
  <c r="O20" i="5"/>
  <c r="O37" i="5" s="1"/>
  <c r="M20" i="1"/>
  <c r="D12" i="4" s="1"/>
  <c r="D15" i="4" s="1"/>
  <c r="A13" i="1"/>
  <c r="O38" i="5" l="1"/>
  <c r="O41" i="5"/>
  <c r="O40" i="5"/>
  <c r="O39" i="5"/>
  <c r="A25" i="5"/>
  <c r="A14" i="1"/>
  <c r="O42" i="5" l="1"/>
  <c r="A26" i="5"/>
  <c r="A32" i="5" s="1"/>
  <c r="A33" i="5" s="1"/>
  <c r="A15" i="1"/>
  <c r="A16" i="1" l="1"/>
  <c r="A17" i="1" l="1"/>
  <c r="B5" i="4"/>
  <c r="A18" i="1" l="1"/>
  <c r="A25" i="1" l="1"/>
  <c r="A26" i="1" s="1"/>
  <c r="A27" i="1" s="1"/>
  <c r="A28" i="1" s="1"/>
  <c r="B3" i="4"/>
  <c r="B2" i="4"/>
  <c r="A29" i="1" l="1"/>
  <c r="A30" i="1" s="1"/>
  <c r="A31" i="1" s="1"/>
  <c r="A32" i="1" s="1"/>
  <c r="A33" i="1" s="1"/>
  <c r="A46" i="1"/>
  <c r="A36" i="1" l="1"/>
  <c r="P11" i="1"/>
  <c r="H13" i="1" l="1"/>
  <c r="J13" i="1" s="1"/>
  <c r="H17" i="1"/>
  <c r="J17" i="1" s="1"/>
  <c r="H12" i="1"/>
  <c r="J12" i="1" s="1"/>
  <c r="L12" i="1" s="1"/>
  <c r="H14" i="1"/>
  <c r="J14" i="1" s="1"/>
  <c r="H18" i="1"/>
  <c r="J18" i="1" s="1"/>
  <c r="H15" i="1"/>
  <c r="J15" i="1" s="1"/>
  <c r="H16" i="1"/>
  <c r="J16" i="1" s="1"/>
  <c r="F14" i="4"/>
  <c r="N14" i="1" l="1"/>
  <c r="O14" i="1" s="1"/>
  <c r="L14" i="1"/>
  <c r="N17" i="1"/>
  <c r="O17" i="1" s="1"/>
  <c r="L17" i="1"/>
  <c r="N16" i="1"/>
  <c r="O16" i="1" s="1"/>
  <c r="L16" i="1"/>
  <c r="N15" i="1"/>
  <c r="O15" i="1" s="1"/>
  <c r="L15" i="1"/>
  <c r="N18" i="1"/>
  <c r="O18" i="1" s="1"/>
  <c r="L18" i="1"/>
  <c r="N13" i="1"/>
  <c r="O13" i="1" s="1"/>
  <c r="L13" i="1"/>
  <c r="N12" i="1"/>
  <c r="O12" i="1" s="1"/>
  <c r="L20" i="1" l="1"/>
  <c r="C12" i="4" s="1"/>
  <c r="C15" i="4" s="1"/>
  <c r="O20" i="1"/>
  <c r="O47" i="1" s="1"/>
  <c r="E12" i="4" l="1"/>
  <c r="F12" i="4" s="1"/>
  <c r="O48" i="1"/>
  <c r="B20" i="4"/>
  <c r="B19" i="4"/>
  <c r="B18" i="4"/>
  <c r="B17" i="4"/>
  <c r="A3" i="4"/>
  <c r="A2" i="4"/>
  <c r="O50" i="1" l="1"/>
  <c r="O51" i="1"/>
  <c r="F15" i="4"/>
  <c r="O49" i="1"/>
  <c r="O52" i="1" l="1"/>
  <c r="E15" i="4"/>
  <c r="E19" i="4" s="1"/>
  <c r="F19" i="4"/>
  <c r="F20" i="4"/>
  <c r="F18" i="4"/>
  <c r="F17" i="4"/>
  <c r="E20" i="4" l="1"/>
  <c r="E18" i="4"/>
  <c r="E17" i="4"/>
  <c r="F21" i="4"/>
  <c r="A42" i="1" l="1"/>
  <c r="E21" i="4"/>
  <c r="A43" i="1" l="1"/>
  <c r="A44" i="1"/>
</calcChain>
</file>

<file path=xl/sharedStrings.xml><?xml version="1.0" encoding="utf-8"?>
<sst xmlns="http://schemas.openxmlformats.org/spreadsheetml/2006/main" count="167" uniqueCount="77">
  <si>
    <t>DESCRIPTION</t>
  </si>
  <si>
    <t>QUANTITY</t>
  </si>
  <si>
    <t>UNIT</t>
  </si>
  <si>
    <t>INSURANCE</t>
  </si>
  <si>
    <t>LS</t>
  </si>
  <si>
    <t>UNIT COST</t>
  </si>
  <si>
    <t>SR #</t>
  </si>
  <si>
    <t>SF</t>
  </si>
  <si>
    <t>Final Cleaning</t>
  </si>
  <si>
    <t>SUB COST</t>
  </si>
  <si>
    <t>PROJECTED COST</t>
  </si>
  <si>
    <t>SUGGESTED BID</t>
  </si>
  <si>
    <t>No. Of Floors:</t>
  </si>
  <si>
    <t>TOTAL DIV. COST</t>
  </si>
  <si>
    <t>TOTAL TRADE COST</t>
  </si>
  <si>
    <t>CONTINGENCY</t>
  </si>
  <si>
    <t>Date:</t>
  </si>
  <si>
    <t>OVERHEAD AND PROFIT</t>
  </si>
  <si>
    <t>GENERAL REQUIREMENTS</t>
  </si>
  <si>
    <t>Scope:</t>
  </si>
  <si>
    <t>WASTAGE</t>
  </si>
  <si>
    <t>QUANTITY W/ WASTAGE</t>
  </si>
  <si>
    <t>SUBTOTAL</t>
  </si>
  <si>
    <t>TAX</t>
  </si>
  <si>
    <t>GENERAL SUMMARY</t>
  </si>
  <si>
    <t>DETAILED BREAKDOWN OF ITEMS</t>
  </si>
  <si>
    <t>LABOR COST</t>
  </si>
  <si>
    <t>MAT. COST</t>
  </si>
  <si>
    <t>BUILDING GSF</t>
  </si>
  <si>
    <t>1st Floor (SF)</t>
  </si>
  <si>
    <t xml:space="preserve">  </t>
  </si>
  <si>
    <t>Project ID:</t>
  </si>
  <si>
    <t>Drawing #</t>
  </si>
  <si>
    <t>UNIT MANHOUR</t>
  </si>
  <si>
    <t>HOURLY WAGE</t>
  </si>
  <si>
    <t>FINISHES</t>
  </si>
  <si>
    <t>TOTAL DIV. COST (PER SF)</t>
  </si>
  <si>
    <t>Finishes</t>
  </si>
  <si>
    <t>Permits</t>
  </si>
  <si>
    <t>Supervision and Coordination</t>
  </si>
  <si>
    <t>Submittals and Shop drawings</t>
  </si>
  <si>
    <t>Mobilization Costs</t>
  </si>
  <si>
    <t>Temporary Control &amp; Facilities</t>
  </si>
  <si>
    <t>Scaffolding</t>
  </si>
  <si>
    <t>General Requirements</t>
  </si>
  <si>
    <t>Notes:</t>
  </si>
  <si>
    <t>DIVISION NO</t>
  </si>
  <si>
    <t>01 00 00</t>
  </si>
  <si>
    <t>09 00 00</t>
  </si>
  <si>
    <t>SITE GSF</t>
  </si>
  <si>
    <t>OVERALL PROJECT GSF</t>
  </si>
  <si>
    <t>Units Legends ; LS=Lumsum, CY= Cubic Yard, SF=Square Footage LF= Linear Footage, EA=Count/Each</t>
  </si>
  <si>
    <t>TOTAL MATERIAL COST</t>
  </si>
  <si>
    <t>TOTAL LABOR COST</t>
  </si>
  <si>
    <t>TOTAL MAT. COST</t>
  </si>
  <si>
    <t>OPENINGS</t>
  </si>
  <si>
    <t>EA</t>
  </si>
  <si>
    <t>(5A) 6'-0" X 1'-6" THERMALLY BROKEN ALUMINUM STORE FRONT GLAZING SYSTEM W/ INSULATED.LOW-E TINTED GLAZING</t>
  </si>
  <si>
    <t>(5B) 6'-0" X 1'-6" THERMALLY BROKEN ALUMINUM STORE FRONT GLAZING SYSTEM W/ INSULATED.LOW-E TINTED GLAZING</t>
  </si>
  <si>
    <t>(6) 6'-0" X 7'-2" THERMALLY BROKEN ALUMINUM STORE FRONT GLAZING SYSTEM W/ INSULATED.LOW-E TINTED GLAZING &amp; 
6'-0" X 1'-4" SPANDREL GLAZING PANEL</t>
  </si>
  <si>
    <t>(7) 11'-8" X 7'-2" THERMALLY BROKEN ALUMINUM STORE FRONT GLAZING SYSTEM W/ INSULATED.LOW-E TINTED GLAZING &amp; 
11'-8" X 1'-4" SPANDREL GLAZING PANEL</t>
  </si>
  <si>
    <t>(8) 4'-4" X 8'-4" THERMALLY BROKEN ALUMINUM STORE FRONT GLAZING SYSTEM W/ INSULATED.LOW-E TINTED GLAZING &amp; 
4'-4" X 1'-4" SPANDREL GLAZING PANEL</t>
  </si>
  <si>
    <t>(10) 4'-4" X 8'-4" THERMALLY BROKEN ALUMINUM STORE FRONT GLAZING SYSTEM W/ INSULATED.LOW-E TINTED GLAZING &amp; 
4'-4" X 1'-4" SPANDREL GLAZING PANEL</t>
  </si>
  <si>
    <t>WALL PANELS</t>
  </si>
  <si>
    <t>PRE-FINISHED EXTERIOR METAL PANEL SYSTEM</t>
  </si>
  <si>
    <t>HORIZONTAL COMPOSITE WALL PANEL SYSTEM</t>
  </si>
  <si>
    <t>08 00 00</t>
  </si>
  <si>
    <t>GLAZING</t>
  </si>
  <si>
    <t>ADAMS COUNTY REGIONAL MEDICAL ENTER</t>
  </si>
  <si>
    <t>Scissor Lift Allowance</t>
  </si>
  <si>
    <t>Months</t>
  </si>
  <si>
    <t>X-Ray Glass and Framing - 2'6" x 3'</t>
  </si>
  <si>
    <t>(3) 26'-0" X 10'-0" THERMALLY BROKEN ALUMINUM STORE FRONT GLAZING SYSTEM W/ INSULATED.LOW-E TINTED GLAZING
w/ Door Mark 105A &amp; Hardware Set #4</t>
  </si>
  <si>
    <t>(4) 6'-0" X 7'-2" THERMALLY BROKEN ALUMINUM STORE FRONT GLAZING SYSTEM W/ INSULATED.LOW-E TINTED GLAZING
w/ Door Mark 110A &amp; Hardware Set # 17 - Door Mark 110 &amp; Hardware Set #3</t>
  </si>
  <si>
    <t>(9) 10'-9" X 8'-4" THERMALLY BROKEN ALUMINUM STORE FRONT GLAZING SYSTEM W/ INSULATED.LOW-E TINTED GLAZING &amp; 
10'-9" X 1'-4" SPANDREL GLAZING PANEL
w/ Door Mark 100A &amp; Hardware Set #5</t>
  </si>
  <si>
    <t>Door Mark 141A &amp; Hardware Set #3</t>
  </si>
  <si>
    <t>Door Mark 100B &amp; Hardware Set #18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</si>
</sst>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  <numFmt numFmtId="166" formatCode="_(&quot;$&quot;* #,##0_);_(&quot;$&quot;* \(#,##0\);_(&quot;$&quot;* &quot;-&quot;??_);_(@_)"/>
    <numFmt numFmtId="167" formatCode="[$$-409]#,##0"/>
    <numFmt numFmtId="168" formatCode="[$-409]d\-mmm\-yy;@"/>
    <numFmt numFmtId="169" formatCode="0.000"/>
    <numFmt numFmtId="170" formatCode="_-[$$-409]* #,##0.00_ ;_-[$$-409]* \-#,##0.00\ ;_-[$$-409]* &quot;-&quot;??_ ;_-@_ "/>
  </numFmts>
  <fonts count="24" x14ac:knownFonts="1">
    <font>
      <sz val="11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4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2"/>
      <name val="Arial"/>
      <family val="2"/>
    </font>
    <font>
      <b/>
      <sz val="16"/>
      <color theme="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B3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9A88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4"/>
      <name val="Times New Roman"/>
      <family val="1"/>
    </font>
    <font>
      <b/>
      <sz val="14"/>
      <color rgb="FF009A88"/>
      <name val="Times New Roman"/>
      <family val="1"/>
    </font>
    <font>
      <b/>
      <sz val="11"/>
      <name val="Times New Roman"/>
      <family val="1"/>
    </font>
    <font>
      <b/>
      <sz val="14"/>
      <color theme="0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sz val="8"/>
      <name val="Tw Cen MT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rgb="FF013554"/>
        <bgColor indexed="64"/>
      </patternFill>
    </fill>
    <fill>
      <patternFill patternType="solid">
        <fgColor rgb="FF00496A"/>
        <bgColor indexed="64"/>
      </patternFill>
    </fill>
    <fill>
      <patternFill patternType="solid">
        <fgColor rgb="FF4A4C4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" fontId="1" fillId="3" borderId="1">
      <alignment horizontal="center"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5" borderId="26" applyNumberFormat="0" applyFont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66" fontId="0" fillId="3" borderId="0" xfId="0" applyNumberFormat="1" applyFill="1"/>
    <xf numFmtId="0" fontId="0" fillId="3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6" fillId="3" borderId="8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3" fontId="7" fillId="3" borderId="0" xfId="0" applyNumberFormat="1" applyFont="1" applyFill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166" fontId="12" fillId="8" borderId="9" xfId="2" applyNumberFormat="1" applyFont="1" applyFill="1" applyBorder="1" applyAlignment="1">
      <alignment vertical="center"/>
    </xf>
    <xf numFmtId="166" fontId="16" fillId="7" borderId="10" xfId="2" applyNumberFormat="1" applyFont="1" applyFill="1" applyBorder="1" applyAlignment="1">
      <alignment horizontal="center" vertical="center"/>
    </xf>
    <xf numFmtId="44" fontId="16" fillId="7" borderId="10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8" fontId="6" fillId="3" borderId="10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3" fontId="18" fillId="3" borderId="0" xfId="0" applyNumberFormat="1" applyFont="1" applyFill="1" applyAlignment="1">
      <alignment horizontal="left" vertical="center" wrapText="1"/>
    </xf>
    <xf numFmtId="0" fontId="19" fillId="3" borderId="10" xfId="0" applyFont="1" applyFill="1" applyBorder="1" applyAlignment="1">
      <alignment horizontal="right" vertical="center" wrapText="1"/>
    </xf>
    <xf numFmtId="0" fontId="7" fillId="0" borderId="24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1" fontId="13" fillId="3" borderId="38" xfId="5" applyNumberFormat="1" applyFont="1" applyFill="1" applyBorder="1" applyAlignment="1">
      <alignment horizontal="center" vertical="center"/>
    </xf>
    <xf numFmtId="1" fontId="13" fillId="3" borderId="39" xfId="5" applyNumberFormat="1" applyFont="1" applyFill="1" applyBorder="1" applyAlignment="1">
      <alignment horizontal="center" vertical="center"/>
    </xf>
    <xf numFmtId="0" fontId="14" fillId="0" borderId="40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9" fontId="14" fillId="0" borderId="40" xfId="0" applyNumberFormat="1" applyFont="1" applyBorder="1" applyAlignment="1">
      <alignment horizontal="center" vertical="center"/>
    </xf>
    <xf numFmtId="1" fontId="14" fillId="0" borderId="40" xfId="0" applyNumberFormat="1" applyFont="1" applyBorder="1" applyAlignment="1">
      <alignment horizontal="center" vertical="center"/>
    </xf>
    <xf numFmtId="2" fontId="13" fillId="3" borderId="39" xfId="5" applyNumberFormat="1" applyFont="1" applyFill="1" applyBorder="1" applyAlignment="1">
      <alignment horizontal="center" vertical="center"/>
    </xf>
    <xf numFmtId="44" fontId="14" fillId="0" borderId="40" xfId="3" applyFont="1" applyBorder="1" applyAlignment="1">
      <alignment horizontal="center" vertical="center"/>
    </xf>
    <xf numFmtId="44" fontId="14" fillId="0" borderId="40" xfId="0" applyNumberFormat="1" applyFont="1" applyBorder="1" applyAlignment="1">
      <alignment horizontal="center" vertical="center" wrapText="1"/>
    </xf>
    <xf numFmtId="44" fontId="14" fillId="0" borderId="28" xfId="0" applyNumberFormat="1" applyFont="1" applyBorder="1" applyAlignment="1">
      <alignment horizontal="center" vertical="center" wrapText="1"/>
    </xf>
    <xf numFmtId="1" fontId="13" fillId="3" borderId="36" xfId="5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44" fontId="14" fillId="0" borderId="1" xfId="3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 wrapText="1"/>
    </xf>
    <xf numFmtId="166" fontId="14" fillId="0" borderId="12" xfId="0" applyNumberFormat="1" applyFont="1" applyBorder="1" applyAlignment="1">
      <alignment horizontal="center" vertical="center" wrapText="1"/>
    </xf>
    <xf numFmtId="0" fontId="9" fillId="8" borderId="41" xfId="0" applyFont="1" applyFill="1" applyBorder="1" applyAlignment="1">
      <alignment vertical="center"/>
    </xf>
    <xf numFmtId="44" fontId="9" fillId="8" borderId="41" xfId="3" applyFont="1" applyFill="1" applyBorder="1" applyAlignment="1">
      <alignment horizontal="right" vertical="center"/>
    </xf>
    <xf numFmtId="44" fontId="12" fillId="8" borderId="41" xfId="0" applyNumberFormat="1" applyFont="1" applyFill="1" applyBorder="1" applyAlignment="1">
      <alignment horizontal="right" vertical="center" wrapText="1"/>
    </xf>
    <xf numFmtId="166" fontId="12" fillId="8" borderId="45" xfId="0" applyNumberFormat="1" applyFont="1" applyFill="1" applyBorder="1" applyAlignment="1">
      <alignment vertical="center" wrapText="1"/>
    </xf>
    <xf numFmtId="0" fontId="16" fillId="6" borderId="25" xfId="0" applyFont="1" applyFill="1" applyBorder="1" applyAlignment="1">
      <alignment vertical="center"/>
    </xf>
    <xf numFmtId="0" fontId="16" fillId="6" borderId="41" xfId="0" applyFont="1" applyFill="1" applyBorder="1" applyAlignment="1">
      <alignment vertical="center"/>
    </xf>
    <xf numFmtId="0" fontId="12" fillId="6" borderId="44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vertical="center"/>
    </xf>
    <xf numFmtId="0" fontId="12" fillId="6" borderId="41" xfId="0" applyFont="1" applyFill="1" applyBorder="1" applyAlignment="1">
      <alignment vertical="center"/>
    </xf>
    <xf numFmtId="0" fontId="12" fillId="6" borderId="41" xfId="0" applyFont="1" applyFill="1" applyBorder="1" applyAlignment="1">
      <alignment vertical="center" wrapText="1"/>
    </xf>
    <xf numFmtId="0" fontId="12" fillId="6" borderId="45" xfId="0" applyFont="1" applyFill="1" applyBorder="1" applyAlignment="1">
      <alignment vertical="center" wrapText="1"/>
    </xf>
    <xf numFmtId="0" fontId="12" fillId="7" borderId="42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1" fontId="13" fillId="3" borderId="1" xfId="5" applyNumberFormat="1" applyFont="1" applyFill="1" applyBorder="1" applyAlignment="1">
      <alignment vertical="center"/>
    </xf>
    <xf numFmtId="0" fontId="14" fillId="3" borderId="8" xfId="5" applyFont="1" applyFill="1" applyBorder="1" applyAlignment="1">
      <alignment horizontal="left" vertical="center" wrapText="1"/>
    </xf>
    <xf numFmtId="0" fontId="14" fillId="3" borderId="0" xfId="5" applyFont="1" applyFill="1" applyBorder="1" applyAlignment="1">
      <alignment horizontal="left" vertical="center" wrapText="1"/>
    </xf>
    <xf numFmtId="0" fontId="13" fillId="3" borderId="0" xfId="5" applyFont="1" applyFill="1" applyBorder="1" applyAlignment="1">
      <alignment horizontal="center" vertical="center"/>
    </xf>
    <xf numFmtId="9" fontId="13" fillId="3" borderId="0" xfId="8" applyFont="1" applyFill="1" applyBorder="1" applyAlignment="1">
      <alignment horizontal="center" vertical="center"/>
    </xf>
    <xf numFmtId="44" fontId="13" fillId="3" borderId="0" xfId="3" applyFont="1" applyFill="1" applyBorder="1" applyAlignment="1" applyProtection="1">
      <alignment horizontal="center" vertical="center"/>
    </xf>
    <xf numFmtId="166" fontId="14" fillId="0" borderId="10" xfId="0" applyNumberFormat="1" applyFont="1" applyBorder="1" applyAlignment="1">
      <alignment horizontal="center" vertical="center" wrapText="1"/>
    </xf>
    <xf numFmtId="1" fontId="13" fillId="3" borderId="1" xfId="5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vertical="center" wrapText="1"/>
    </xf>
    <xf numFmtId="165" fontId="12" fillId="7" borderId="15" xfId="0" applyNumberFormat="1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left" vertical="center"/>
    </xf>
    <xf numFmtId="0" fontId="12" fillId="7" borderId="37" xfId="0" applyFont="1" applyFill="1" applyBorder="1" applyAlignment="1">
      <alignment horizontal="left" vertical="center"/>
    </xf>
    <xf numFmtId="9" fontId="12" fillId="7" borderId="4" xfId="0" applyNumberFormat="1" applyFont="1" applyFill="1" applyBorder="1" applyAlignment="1">
      <alignment horizontal="center" vertical="center" wrapText="1"/>
    </xf>
    <xf numFmtId="167" fontId="12" fillId="7" borderId="13" xfId="0" applyNumberFormat="1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9" fontId="12" fillId="7" borderId="1" xfId="0" applyNumberFormat="1" applyFont="1" applyFill="1" applyBorder="1" applyAlignment="1">
      <alignment horizontal="center" vertical="center" wrapText="1"/>
    </xf>
    <xf numFmtId="167" fontId="12" fillId="7" borderId="12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12" fillId="7" borderId="30" xfId="0" applyFont="1" applyFill="1" applyBorder="1" applyAlignment="1">
      <alignment horizontal="right" vertical="center"/>
    </xf>
    <xf numFmtId="0" fontId="12" fillId="7" borderId="31" xfId="0" applyFont="1" applyFill="1" applyBorder="1" applyAlignment="1">
      <alignment horizontal="right" vertical="center"/>
    </xf>
    <xf numFmtId="9" fontId="12" fillId="7" borderId="32" xfId="0" applyNumberFormat="1" applyFont="1" applyFill="1" applyBorder="1" applyAlignment="1">
      <alignment horizontal="center" vertical="center" wrapText="1"/>
    </xf>
    <xf numFmtId="167" fontId="12" fillId="7" borderId="33" xfId="0" applyNumberFormat="1" applyFont="1" applyFill="1" applyBorder="1" applyAlignment="1">
      <alignment horizontal="center" vertical="center" wrapText="1"/>
    </xf>
    <xf numFmtId="167" fontId="12" fillId="8" borderId="28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3" fillId="0" borderId="46" xfId="0" applyFont="1" applyBorder="1" applyAlignment="1">
      <alignment vertical="center"/>
    </xf>
    <xf numFmtId="166" fontId="14" fillId="0" borderId="28" xfId="0" applyNumberFormat="1" applyFont="1" applyBorder="1"/>
    <xf numFmtId="0" fontId="12" fillId="6" borderId="20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0" fillId="3" borderId="10" xfId="0" applyFill="1" applyBorder="1"/>
    <xf numFmtId="164" fontId="0" fillId="3" borderId="16" xfId="0" applyNumberFormat="1" applyFill="1" applyBorder="1"/>
    <xf numFmtId="0" fontId="0" fillId="3" borderId="16" xfId="0" applyFill="1" applyBorder="1"/>
    <xf numFmtId="0" fontId="0" fillId="3" borderId="17" xfId="0" applyFill="1" applyBorder="1"/>
    <xf numFmtId="0" fontId="14" fillId="0" borderId="1" xfId="0" applyFont="1" applyBorder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 wrapText="1"/>
    </xf>
    <xf numFmtId="166" fontId="9" fillId="3" borderId="0" xfId="0" applyNumberFormat="1" applyFont="1" applyFill="1" applyAlignment="1">
      <alignment horizontal="right"/>
    </xf>
    <xf numFmtId="168" fontId="10" fillId="3" borderId="0" xfId="0" applyNumberFormat="1" applyFont="1" applyFill="1" applyAlignment="1">
      <alignment horizontal="left" vertical="center"/>
    </xf>
    <xf numFmtId="44" fontId="0" fillId="3" borderId="0" xfId="0" applyNumberFormat="1" applyFill="1"/>
    <xf numFmtId="9" fontId="12" fillId="7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 wrapText="1"/>
    </xf>
    <xf numFmtId="1" fontId="14" fillId="0" borderId="0" xfId="0" applyNumberFormat="1" applyFont="1" applyAlignment="1">
      <alignment horizontal="center" vertical="center"/>
    </xf>
    <xf numFmtId="169" fontId="14" fillId="0" borderId="0" xfId="0" applyNumberFormat="1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6" borderId="27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168" fontId="6" fillId="3" borderId="0" xfId="0" applyNumberFormat="1" applyFont="1" applyFill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5" fillId="3" borderId="28" xfId="3" applyNumberFormat="1" applyFont="1" applyFill="1" applyBorder="1"/>
    <xf numFmtId="3" fontId="12" fillId="8" borderId="37" xfId="0" applyNumberFormat="1" applyFont="1" applyFill="1" applyBorder="1" applyAlignment="1">
      <alignment horizontal="center"/>
    </xf>
    <xf numFmtId="0" fontId="12" fillId="8" borderId="25" xfId="0" applyFont="1" applyFill="1" applyBorder="1" applyAlignment="1">
      <alignment horizontal="left" vertical="center"/>
    </xf>
    <xf numFmtId="166" fontId="9" fillId="8" borderId="41" xfId="0" applyNumberFormat="1" applyFont="1" applyFill="1" applyBorder="1" applyAlignment="1">
      <alignment horizontal="right"/>
    </xf>
    <xf numFmtId="0" fontId="12" fillId="9" borderId="8" xfId="0" applyFont="1" applyFill="1" applyBorder="1" applyAlignment="1">
      <alignment horizontal="left" vertical="center"/>
    </xf>
    <xf numFmtId="166" fontId="9" fillId="9" borderId="0" xfId="0" applyNumberFormat="1" applyFont="1" applyFill="1" applyAlignment="1">
      <alignment horizontal="right"/>
    </xf>
    <xf numFmtId="3" fontId="12" fillId="9" borderId="0" xfId="0" applyNumberFormat="1" applyFont="1" applyFill="1" applyAlignment="1">
      <alignment horizontal="center"/>
    </xf>
    <xf numFmtId="0" fontId="12" fillId="9" borderId="48" xfId="0" applyFont="1" applyFill="1" applyBorder="1" applyAlignment="1">
      <alignment horizontal="left" vertical="center"/>
    </xf>
    <xf numFmtId="3" fontId="12" fillId="9" borderId="41" xfId="0" applyNumberFormat="1" applyFont="1" applyFill="1" applyBorder="1" applyAlignment="1">
      <alignment horizontal="center"/>
    </xf>
    <xf numFmtId="166" fontId="9" fillId="9" borderId="44" xfId="0" applyNumberFormat="1" applyFont="1" applyFill="1" applyBorder="1" applyAlignment="1">
      <alignment horizontal="right"/>
    </xf>
    <xf numFmtId="0" fontId="12" fillId="9" borderId="25" xfId="0" applyFont="1" applyFill="1" applyBorder="1" applyAlignment="1">
      <alignment horizontal="left" vertical="center"/>
    </xf>
    <xf numFmtId="3" fontId="12" fillId="9" borderId="37" xfId="0" applyNumberFormat="1" applyFont="1" applyFill="1" applyBorder="1" applyAlignment="1">
      <alignment horizontal="center"/>
    </xf>
    <xf numFmtId="166" fontId="9" fillId="9" borderId="41" xfId="0" applyNumberFormat="1" applyFont="1" applyFill="1" applyBorder="1" applyAlignment="1">
      <alignment horizontal="right"/>
    </xf>
    <xf numFmtId="0" fontId="12" fillId="7" borderId="8" xfId="0" applyFont="1" applyFill="1" applyBorder="1" applyAlignment="1">
      <alignment horizontal="left" vertical="center"/>
    </xf>
    <xf numFmtId="0" fontId="0" fillId="9" borderId="49" xfId="0" applyFill="1" applyBorder="1"/>
    <xf numFmtId="0" fontId="0" fillId="9" borderId="43" xfId="0" applyFill="1" applyBorder="1"/>
    <xf numFmtId="0" fontId="0" fillId="9" borderId="36" xfId="0" applyFill="1" applyBorder="1"/>
    <xf numFmtId="0" fontId="0" fillId="8" borderId="36" xfId="0" applyFill="1" applyBorder="1"/>
    <xf numFmtId="0" fontId="9" fillId="8" borderId="41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14" fillId="3" borderId="0" xfId="5" applyFont="1" applyFill="1" applyBorder="1" applyAlignment="1">
      <alignment horizontal="center" vertical="center" wrapText="1"/>
    </xf>
    <xf numFmtId="44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6" fillId="10" borderId="41" xfId="0" applyFont="1" applyFill="1" applyBorder="1" applyAlignment="1">
      <alignment vertical="center"/>
    </xf>
    <xf numFmtId="0" fontId="12" fillId="10" borderId="44" xfId="0" applyFont="1" applyFill="1" applyBorder="1" applyAlignment="1">
      <alignment horizontal="center" vertical="center"/>
    </xf>
    <xf numFmtId="0" fontId="12" fillId="10" borderId="41" xfId="0" applyFont="1" applyFill="1" applyBorder="1" applyAlignment="1">
      <alignment vertical="center" wrapText="1"/>
    </xf>
    <xf numFmtId="0" fontId="12" fillId="10" borderId="45" xfId="0" applyFont="1" applyFill="1" applyBorder="1" applyAlignment="1">
      <alignment vertical="center" wrapText="1"/>
    </xf>
    <xf numFmtId="0" fontId="16" fillId="10" borderId="41" xfId="0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20" fillId="10" borderId="41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164" fontId="14" fillId="3" borderId="8" xfId="0" applyNumberFormat="1" applyFont="1" applyFill="1" applyBorder="1" applyAlignment="1">
      <alignment vertical="center"/>
    </xf>
    <xf numFmtId="9" fontId="14" fillId="3" borderId="8" xfId="8" applyFont="1" applyFill="1" applyBorder="1" applyAlignment="1">
      <alignment vertical="center"/>
    </xf>
    <xf numFmtId="9" fontId="14" fillId="3" borderId="0" xfId="8" applyFont="1" applyFill="1" applyAlignment="1">
      <alignment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70" fontId="15" fillId="0" borderId="0" xfId="0" applyNumberFormat="1" applyFont="1" applyAlignment="1">
      <alignment horizontal="center" vertical="center"/>
    </xf>
    <xf numFmtId="170" fontId="12" fillId="6" borderId="22" xfId="0" applyNumberFormat="1" applyFont="1" applyFill="1" applyBorder="1" applyAlignment="1">
      <alignment horizontal="center" vertical="center" wrapText="1"/>
    </xf>
    <xf numFmtId="170" fontId="20" fillId="10" borderId="41" xfId="0" applyNumberFormat="1" applyFont="1" applyFill="1" applyBorder="1" applyAlignment="1">
      <alignment vertical="center"/>
    </xf>
    <xf numFmtId="170" fontId="12" fillId="6" borderId="41" xfId="0" applyNumberFormat="1" applyFont="1" applyFill="1" applyBorder="1" applyAlignment="1">
      <alignment vertical="center"/>
    </xf>
    <xf numFmtId="170" fontId="13" fillId="3" borderId="39" xfId="5" applyNumberFormat="1" applyFont="1" applyFill="1" applyBorder="1" applyAlignment="1">
      <alignment horizontal="center" vertical="center"/>
    </xf>
    <xf numFmtId="170" fontId="9" fillId="8" borderId="41" xfId="0" applyNumberFormat="1" applyFont="1" applyFill="1" applyBorder="1" applyAlignment="1">
      <alignment vertical="center"/>
    </xf>
    <xf numFmtId="170" fontId="14" fillId="0" borderId="0" xfId="0" applyNumberFormat="1" applyFont="1" applyAlignment="1">
      <alignment horizontal="center" vertical="center"/>
    </xf>
    <xf numFmtId="170" fontId="12" fillId="7" borderId="5" xfId="0" applyNumberFormat="1" applyFont="1" applyFill="1" applyBorder="1" applyAlignment="1">
      <alignment horizontal="right" vertical="center"/>
    </xf>
    <xf numFmtId="170" fontId="12" fillId="7" borderId="30" xfId="0" applyNumberFormat="1" applyFont="1" applyFill="1" applyBorder="1" applyAlignment="1">
      <alignment horizontal="right" vertical="center"/>
    </xf>
    <xf numFmtId="170" fontId="21" fillId="0" borderId="0" xfId="0" applyNumberFormat="1" applyFont="1" applyAlignment="1">
      <alignment horizontal="center" vertical="center"/>
    </xf>
    <xf numFmtId="170" fontId="0" fillId="3" borderId="0" xfId="0" applyNumberFormat="1" applyFill="1" applyAlignment="1">
      <alignment horizontal="center" vertical="center"/>
    </xf>
    <xf numFmtId="3" fontId="12" fillId="9" borderId="44" xfId="0" applyNumberFormat="1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 vertical="center"/>
    </xf>
    <xf numFmtId="44" fontId="13" fillId="0" borderId="50" xfId="0" applyNumberFormat="1" applyFont="1" applyBorder="1" applyAlignment="1">
      <alignment vertical="center"/>
    </xf>
    <xf numFmtId="0" fontId="12" fillId="7" borderId="39" xfId="0" applyFont="1" applyFill="1" applyBorder="1" applyAlignment="1">
      <alignment horizontal="right" vertical="center"/>
    </xf>
    <xf numFmtId="0" fontId="12" fillId="7" borderId="51" xfId="0" applyFont="1" applyFill="1" applyBorder="1" applyAlignment="1">
      <alignment horizontal="right" vertical="center"/>
    </xf>
    <xf numFmtId="1" fontId="22" fillId="3" borderId="46" xfId="5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2" fillId="8" borderId="9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right" vertical="center"/>
    </xf>
    <xf numFmtId="0" fontId="12" fillId="7" borderId="5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right" vertical="center"/>
    </xf>
    <xf numFmtId="1" fontId="22" fillId="3" borderId="46" xfId="5" applyNumberFormat="1" applyFont="1" applyFill="1" applyBorder="1" applyAlignment="1">
      <alignment horizontal="center" vertical="center"/>
    </xf>
  </cellXfs>
  <cellStyles count="9">
    <cellStyle name="Currency" xfId="3" builtinId="4"/>
    <cellStyle name="Currency 2" xfId="2" xr:uid="{00000000-0005-0000-0000-000001000000}"/>
    <cellStyle name="Currency 3" xfId="7" xr:uid="{A3D0DE26-26CF-485F-BB72-CF57C9BAEF9A}"/>
    <cellStyle name="Normal" xfId="0" builtinId="0"/>
    <cellStyle name="Normal 2 3" xfId="4" xr:uid="{00000000-0005-0000-0000-000003000000}"/>
    <cellStyle name="Note" xfId="5" builtinId="10"/>
    <cellStyle name="Percent" xfId="8" builtinId="5"/>
    <cellStyle name="Percent 2" xfId="6" xr:uid="{894EF222-2471-43AC-9800-881BA9AA9091}"/>
    <cellStyle name="Style 1" xfId="1" xr:uid="{00000000-0005-0000-0000-000004000000}"/>
  </cellStyles>
  <dxfs count="0"/>
  <tableStyles count="0" defaultTableStyle="TableStyleMedium9" defaultPivotStyle="PivotStyleLight16"/>
  <colors>
    <mruColors>
      <color rgb="FF4A4C4C"/>
      <color rgb="FF013554"/>
      <color rgb="FF00496A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DIVISION COST COMPARISON</c:v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'General Summary'!$B$12:$B$14</c:f>
              <c:strCache>
                <c:ptCount val="3"/>
                <c:pt idx="0">
                  <c:v>General Requirements</c:v>
                </c:pt>
                <c:pt idx="1">
                  <c:v>OPENINGS</c:v>
                </c:pt>
                <c:pt idx="2">
                  <c:v>Finishes</c:v>
                </c:pt>
              </c:strCache>
            </c:strRef>
          </c:cat>
          <c:val>
            <c:numRef>
              <c:f>'General Summary'!$E$12:$E$14</c:f>
              <c:numCache>
                <c:formatCode>_("$"* #,##0_);_("$"* \(#,##0\);_("$"* "-"??_);_(@_)</c:formatCode>
                <c:ptCount val="3"/>
                <c:pt idx="0">
                  <c:v>4460.6133</c:v>
                </c:pt>
                <c:pt idx="1">
                  <c:v>117957.94333333333</c:v>
                </c:pt>
                <c:pt idx="2">
                  <c:v>37171.777499999997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8A-43C0-9BDF-5ADCB332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525215184"/>
        <c:axId val="525188976"/>
      </c:barChart>
      <c:catAx>
        <c:axId val="5252151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188976"/>
        <c:crosses val="autoZero"/>
        <c:auto val="1"/>
        <c:lblAlgn val="ctr"/>
        <c:lblOffset val="100"/>
        <c:noMultiLvlLbl val="0"/>
      </c:catAx>
      <c:valAx>
        <c:axId val="5251889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1333500</xdr:colOff>
      <xdr:row>10</xdr:row>
      <xdr:rowOff>0</xdr:rowOff>
    </xdr:from>
    <xdr:to>
      <xdr:col>14</xdr:col>
      <xdr:colOff>661147</xdr:colOff>
      <xdr:row>20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7D37AD-DFDF-5416-2814-CD180CDD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1270000</xdr:colOff>
      <xdr:row>1</xdr:row>
      <xdr:rowOff>38100</xdr:rowOff>
    </xdr:from>
    <xdr:to>
      <xdr:col>5</xdr:col>
      <xdr:colOff>1308996</xdr:colOff>
      <xdr:row>5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066ECE-734C-489A-AA02-1C490B6BE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51950" y="298450"/>
          <a:ext cx="1378846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457200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7412386-664B-4E9A-89CC-75563F337391}"/>
            </a:ext>
          </a:extLst>
        </xdr:cNvPr>
        <xdr:cNvSpPr txBox="1"/>
      </xdr:nvSpPr>
      <xdr:spPr>
        <a:xfrm>
          <a:off x="1466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63500</xdr:colOff>
      <xdr:row>2</xdr:row>
      <xdr:rowOff>18142</xdr:rowOff>
    </xdr:from>
    <xdr:to>
      <xdr:col>14</xdr:col>
      <xdr:colOff>856405</xdr:colOff>
      <xdr:row>7</xdr:row>
      <xdr:rowOff>43752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CA8C8D-56C3-B263-0899-967390791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35357" y="281213"/>
          <a:ext cx="1718191" cy="10143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DE8FDC-B84C-4C0B-B2DE-7525A16F009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457200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D96DE9-EB3D-43A4-A9AC-45195A5314A4}"/>
            </a:ext>
          </a:extLst>
        </xdr:cNvPr>
        <xdr:cNvSpPr txBox="1"/>
      </xdr:nvSpPr>
      <xdr:spPr>
        <a:xfrm>
          <a:off x="28956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AE0535F-0809-41BD-9BAC-95D950914820}"/>
            </a:ext>
          </a:extLst>
        </xdr:cNvPr>
        <xdr:cNvSpPr txBox="1"/>
      </xdr:nvSpPr>
      <xdr:spPr>
        <a:xfrm>
          <a:off x="2438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1170215</xdr:colOff>
      <xdr:row>1</xdr:row>
      <xdr:rowOff>254001</xdr:rowOff>
    </xdr:from>
    <xdr:to>
      <xdr:col>14</xdr:col>
      <xdr:colOff>860215</xdr:colOff>
      <xdr:row>6</xdr:row>
      <xdr:rowOff>43197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8F4580-879C-4F62-A98A-0D5EC8042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17429" y="254001"/>
          <a:ext cx="1839929" cy="95941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O36"/>
  <sheetViews>
    <sheetView tabSelected="1" view="pageBreakPreview" zoomScaleNormal="100" zoomScaleSheetLayoutView="100" workbookViewId="0">
      <selection activeCell="G5" sqref="G5"/>
    </sheetView>
  </sheetViews>
  <sheetFormatPr defaultColWidth="9" defaultRowHeight="14" x14ac:dyDescent="0.3"/>
  <cols>
    <col min="1" max="1" width="24.6640625" style="6" customWidth="1"/>
    <col min="2" max="2" width="44.1640625" style="6" customWidth="1"/>
    <col min="3" max="3" width="18.58203125" style="6" customWidth="1"/>
    <col min="4" max="4" width="17.33203125" style="6" customWidth="1"/>
    <col min="5" max="6" width="17.58203125" style="7" customWidth="1"/>
    <col min="7" max="14" width="9" style="6"/>
    <col min="15" max="15" width="6.5" style="6" customWidth="1"/>
    <col min="16" max="16384" width="9" style="6"/>
  </cols>
  <sheetData>
    <row r="1" spans="1:15" ht="20.5" thickBot="1" x14ac:dyDescent="0.35">
      <c r="A1" s="188" t="s">
        <v>24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/>
    </row>
    <row r="2" spans="1:15" ht="17.5" x14ac:dyDescent="0.3">
      <c r="A2" s="10" t="str">
        <f>'Takeoff Breakdown'!A3</f>
        <v>Project ID:</v>
      </c>
      <c r="B2" s="123" t="str">
        <f>'Takeoff Breakdown'!B3</f>
        <v>ADAMS COUNTY REGIONAL MEDICAL ENTER</v>
      </c>
      <c r="C2" s="123"/>
      <c r="D2" s="123"/>
      <c r="E2" s="101"/>
      <c r="F2" s="6"/>
      <c r="O2" s="96"/>
    </row>
    <row r="3" spans="1:15" ht="17.5" x14ac:dyDescent="0.3">
      <c r="A3" s="10" t="str">
        <f>'Takeoff Breakdown'!A4</f>
        <v>Scope:</v>
      </c>
      <c r="B3" s="124" t="str">
        <f>'Takeoff Breakdown'!B4</f>
        <v>GLAZING</v>
      </c>
      <c r="C3" s="124"/>
      <c r="D3" s="124"/>
      <c r="E3" s="102"/>
      <c r="F3" s="6"/>
      <c r="O3" s="96"/>
    </row>
    <row r="4" spans="1:15" customFormat="1" ht="17.5" x14ac:dyDescent="0.3">
      <c r="A4" s="10" t="s">
        <v>12</v>
      </c>
      <c r="B4" s="125">
        <v>1</v>
      </c>
      <c r="C4" s="125"/>
      <c r="D4" s="125"/>
      <c r="E4" s="102"/>
      <c r="F4" s="6"/>
      <c r="G4" s="6"/>
      <c r="H4" s="6"/>
      <c r="I4" s="6"/>
      <c r="J4" s="6"/>
      <c r="K4" s="6"/>
      <c r="L4" s="6"/>
      <c r="M4" s="6"/>
      <c r="N4" s="6"/>
      <c r="O4" s="96"/>
    </row>
    <row r="5" spans="1:15" ht="17.5" x14ac:dyDescent="0.3">
      <c r="A5" s="10" t="s">
        <v>16</v>
      </c>
      <c r="B5" s="126">
        <f ca="1">'Takeoff Breakdown'!O8</f>
        <v>46095</v>
      </c>
      <c r="C5" s="126"/>
      <c r="D5" s="126"/>
      <c r="E5" s="103"/>
      <c r="F5" s="6"/>
      <c r="O5" s="96"/>
    </row>
    <row r="6" spans="1:15" ht="15" x14ac:dyDescent="0.3">
      <c r="A6" s="13"/>
      <c r="B6" s="104"/>
      <c r="C6" s="104"/>
      <c r="D6" s="104"/>
      <c r="E6" s="103"/>
      <c r="F6" s="6"/>
      <c r="O6" s="96"/>
    </row>
    <row r="7" spans="1:15" ht="18.649999999999999" customHeight="1" x14ac:dyDescent="0.3">
      <c r="A7" s="132" t="s">
        <v>50</v>
      </c>
      <c r="B7" s="134">
        <f>B8+B9</f>
        <v>40000</v>
      </c>
      <c r="C7" s="134"/>
      <c r="D7" s="134"/>
      <c r="E7" s="133"/>
      <c r="F7" s="142"/>
      <c r="O7" s="96"/>
    </row>
    <row r="8" spans="1:15" ht="18.649999999999999" customHeight="1" x14ac:dyDescent="0.3">
      <c r="A8" s="135" t="s">
        <v>49</v>
      </c>
      <c r="B8" s="136">
        <v>0</v>
      </c>
      <c r="C8" s="176"/>
      <c r="D8" s="176"/>
      <c r="E8" s="137"/>
      <c r="F8" s="143"/>
      <c r="O8" s="96"/>
    </row>
    <row r="9" spans="1:15" ht="18.649999999999999" customHeight="1" x14ac:dyDescent="0.3">
      <c r="A9" s="138" t="s">
        <v>28</v>
      </c>
      <c r="B9" s="139">
        <f>B10</f>
        <v>40000</v>
      </c>
      <c r="C9" s="139"/>
      <c r="D9" s="139"/>
      <c r="E9" s="140"/>
      <c r="F9" s="144"/>
      <c r="O9" s="96"/>
    </row>
    <row r="10" spans="1:15" ht="15.5" thickBot="1" x14ac:dyDescent="0.35">
      <c r="A10" s="130" t="s">
        <v>29</v>
      </c>
      <c r="B10" s="129">
        <v>40000</v>
      </c>
      <c r="C10" s="129"/>
      <c r="D10" s="129"/>
      <c r="E10" s="131"/>
      <c r="F10" s="145"/>
      <c r="O10" s="96"/>
    </row>
    <row r="11" spans="1:15" ht="45.5" thickBot="1" x14ac:dyDescent="0.35">
      <c r="A11" s="93" t="s">
        <v>46</v>
      </c>
      <c r="B11" s="94" t="s">
        <v>0</v>
      </c>
      <c r="C11" s="95" t="s">
        <v>53</v>
      </c>
      <c r="D11" s="95" t="s">
        <v>52</v>
      </c>
      <c r="E11" s="95" t="s">
        <v>13</v>
      </c>
      <c r="F11" s="95" t="s">
        <v>36</v>
      </c>
      <c r="O11" s="96"/>
    </row>
    <row r="12" spans="1:15" ht="15.5" x14ac:dyDescent="0.35">
      <c r="A12" s="90" t="s">
        <v>47</v>
      </c>
      <c r="B12" s="91" t="s">
        <v>44</v>
      </c>
      <c r="C12" s="178">
        <f>'Takeoff Breakdown'!L20</f>
        <v>4460.6133</v>
      </c>
      <c r="D12" s="178">
        <f>'Takeoff Breakdown'!M20</f>
        <v>0</v>
      </c>
      <c r="E12" s="92">
        <f>'Takeoff Breakdown'!O20</f>
        <v>4460.6133</v>
      </c>
      <c r="F12" s="128">
        <f>E12/$B$7</f>
        <v>0.11151533249999999</v>
      </c>
      <c r="O12" s="96"/>
    </row>
    <row r="13" spans="1:15" ht="15.5" x14ac:dyDescent="0.35">
      <c r="A13" s="90" t="s">
        <v>66</v>
      </c>
      <c r="B13" s="91" t="s">
        <v>55</v>
      </c>
      <c r="C13" s="178">
        <f>'Takeoff Breakdown'!L38</f>
        <v>37493.385000000002</v>
      </c>
      <c r="D13" s="178">
        <f>'Takeoff Breakdown'!M38</f>
        <v>75964.55833333332</v>
      </c>
      <c r="E13" s="92">
        <f>'Takeoff Breakdown'!O38</f>
        <v>117957.94333333333</v>
      </c>
      <c r="F13" s="128">
        <f>E13/$B$7</f>
        <v>2.9489485833333333</v>
      </c>
      <c r="O13" s="96"/>
    </row>
    <row r="14" spans="1:15" ht="16" thickBot="1" x14ac:dyDescent="0.4">
      <c r="A14" s="14" t="s">
        <v>48</v>
      </c>
      <c r="B14" s="15" t="s">
        <v>37</v>
      </c>
      <c r="C14" s="178">
        <f>'Takeoff Breakdown'!L45</f>
        <v>17147.295000000002</v>
      </c>
      <c r="D14" s="178">
        <f>'Takeoff Breakdown'!M45</f>
        <v>20024.482499999998</v>
      </c>
      <c r="E14" s="92">
        <f>'Takeoff Breakdown'!O45</f>
        <v>37171.777499999997</v>
      </c>
      <c r="F14" s="128">
        <f t="shared" ref="F14" si="0">E14/$B$9</f>
        <v>0.92929443749999996</v>
      </c>
      <c r="O14" s="96"/>
    </row>
    <row r="15" spans="1:15" ht="15.5" thickBot="1" x14ac:dyDescent="0.35">
      <c r="A15" s="184" t="s">
        <v>14</v>
      </c>
      <c r="B15" s="184"/>
      <c r="C15" s="16">
        <f>SUM(C12:C14)</f>
        <v>59101.293300000005</v>
      </c>
      <c r="D15" s="16">
        <f>SUM(D12:D14)</f>
        <v>95989.040833333318</v>
      </c>
      <c r="E15" s="16">
        <f>SUM(E12:E14)</f>
        <v>159590.33413333332</v>
      </c>
      <c r="F15" s="16">
        <f>SUM(F12:F14)</f>
        <v>3.989758353333333</v>
      </c>
      <c r="H15" s="105"/>
      <c r="O15" s="96"/>
    </row>
    <row r="16" spans="1:15" ht="15.5" thickBot="1" x14ac:dyDescent="0.35">
      <c r="A16" s="185"/>
      <c r="B16" s="185"/>
      <c r="C16" s="185"/>
      <c r="D16" s="185"/>
      <c r="E16" s="185"/>
      <c r="F16" s="185"/>
      <c r="O16" s="96"/>
    </row>
    <row r="17" spans="1:15" ht="15.5" x14ac:dyDescent="0.3">
      <c r="A17" s="141" t="s">
        <v>17</v>
      </c>
      <c r="B17" s="106">
        <f>+'Takeoff Breakdown'!N48</f>
        <v>0.3</v>
      </c>
      <c r="C17" s="106"/>
      <c r="D17" s="106"/>
      <c r="E17" s="17">
        <f>E15*B17</f>
        <v>47877.100239999992</v>
      </c>
      <c r="F17" s="18">
        <f>F15*B17</f>
        <v>1.1969275059999998</v>
      </c>
      <c r="G17" s="105"/>
      <c r="H17" s="105"/>
      <c r="O17" s="96"/>
    </row>
    <row r="18" spans="1:15" ht="15.5" x14ac:dyDescent="0.3">
      <c r="A18" s="141" t="s">
        <v>3</v>
      </c>
      <c r="B18" s="106">
        <f>+'Takeoff Breakdown'!N49</f>
        <v>0</v>
      </c>
      <c r="C18" s="106"/>
      <c r="D18" s="106"/>
      <c r="E18" s="17">
        <f>E15*B18</f>
        <v>0</v>
      </c>
      <c r="F18" s="17">
        <f>F15*B18</f>
        <v>0</v>
      </c>
      <c r="O18" s="96"/>
    </row>
    <row r="19" spans="1:15" ht="15.5" x14ac:dyDescent="0.3">
      <c r="A19" s="141" t="s">
        <v>15</v>
      </c>
      <c r="B19" s="106">
        <f>+'Takeoff Breakdown'!N50</f>
        <v>0.05</v>
      </c>
      <c r="C19" s="106"/>
      <c r="D19" s="106"/>
      <c r="E19" s="17">
        <f>E15*B19</f>
        <v>7979.5167066666663</v>
      </c>
      <c r="F19" s="17">
        <f>F15*B19</f>
        <v>0.19948791766666665</v>
      </c>
      <c r="O19" s="96"/>
    </row>
    <row r="20" spans="1:15" ht="16" thickBot="1" x14ac:dyDescent="0.35">
      <c r="A20" s="141" t="s">
        <v>23</v>
      </c>
      <c r="B20" s="106">
        <f>'Takeoff Breakdown'!N51</f>
        <v>7.2969999999999993E-2</v>
      </c>
      <c r="C20" s="106"/>
      <c r="D20" s="106"/>
      <c r="E20" s="17">
        <f>E15*B20</f>
        <v>11645.306681709331</v>
      </c>
      <c r="F20" s="17">
        <f>F15*B20</f>
        <v>0.29113266704273327</v>
      </c>
      <c r="O20" s="96"/>
    </row>
    <row r="21" spans="1:15" ht="15.5" thickBot="1" x14ac:dyDescent="0.35">
      <c r="A21" s="186" t="s">
        <v>11</v>
      </c>
      <c r="B21" s="187"/>
      <c r="C21" s="177"/>
      <c r="D21" s="177"/>
      <c r="E21" s="16">
        <f>SUM(E15,E17:E20)</f>
        <v>227092.25776170933</v>
      </c>
      <c r="F21" s="16">
        <f>SUM(F15,F17:F20)</f>
        <v>5.6773064440427321</v>
      </c>
      <c r="G21" s="97"/>
      <c r="H21" s="98"/>
      <c r="I21" s="98"/>
      <c r="J21" s="98"/>
      <c r="K21" s="98"/>
      <c r="L21" s="98"/>
      <c r="M21" s="98"/>
      <c r="N21" s="98"/>
      <c r="O21" s="99"/>
    </row>
    <row r="28" spans="1:15" x14ac:dyDescent="0.3">
      <c r="E28" s="6"/>
      <c r="F28" s="6"/>
    </row>
    <row r="29" spans="1:15" x14ac:dyDescent="0.3">
      <c r="E29" s="6"/>
      <c r="F29" s="6"/>
    </row>
    <row r="30" spans="1:15" x14ac:dyDescent="0.3">
      <c r="E30" s="6"/>
      <c r="F30" s="6"/>
    </row>
    <row r="31" spans="1:15" x14ac:dyDescent="0.3">
      <c r="E31" s="6"/>
      <c r="F31" s="6"/>
    </row>
    <row r="32" spans="1:15" x14ac:dyDescent="0.3">
      <c r="E32" s="6"/>
      <c r="F32" s="6"/>
    </row>
    <row r="33" s="6" customFormat="1" x14ac:dyDescent="0.3"/>
    <row r="34" s="6" customFormat="1" x14ac:dyDescent="0.3"/>
    <row r="35" s="6" customFormat="1" x14ac:dyDescent="0.3"/>
    <row r="36" s="6" customFormat="1" x14ac:dyDescent="0.3"/>
  </sheetData>
  <mergeCells count="4">
    <mergeCell ref="A15:B15"/>
    <mergeCell ref="A16:F16"/>
    <mergeCell ref="A21:B21"/>
    <mergeCell ref="A1:O1"/>
  </mergeCells>
  <phoneticPr fontId="23" type="noConversion"/>
  <pageMargins left="0.7" right="0.7" top="0.7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M55"/>
  <sheetViews>
    <sheetView showGridLines="0" topLeftCell="C2" zoomScale="70" zoomScaleNormal="70" zoomScaleSheetLayoutView="115" workbookViewId="0">
      <selection activeCell="Q8" sqref="Q8"/>
    </sheetView>
  </sheetViews>
  <sheetFormatPr defaultColWidth="9" defaultRowHeight="15.5" x14ac:dyDescent="0.3"/>
  <cols>
    <col min="1" max="2" width="16" style="4" customWidth="1"/>
    <col min="3" max="3" width="121.4140625" style="4" bestFit="1" customWidth="1"/>
    <col min="4" max="4" width="10.58203125" style="4" customWidth="1"/>
    <col min="5" max="5" width="12.1640625" style="5" customWidth="1"/>
    <col min="6" max="6" width="11.08203125" style="5" customWidth="1"/>
    <col min="7" max="7" width="14.9140625" style="5" customWidth="1"/>
    <col min="8" max="8" width="12.08203125" style="5" customWidth="1"/>
    <col min="9" max="9" width="10" style="175" customWidth="1"/>
    <col min="10" max="10" width="12.58203125" style="4" customWidth="1"/>
    <col min="11" max="11" width="16.5" style="4" customWidth="1"/>
    <col min="12" max="12" width="13.6640625" style="4" customWidth="1"/>
    <col min="13" max="13" width="16.08203125" style="4" customWidth="1"/>
    <col min="14" max="14" width="12.08203125" style="8" customWidth="1"/>
    <col min="15" max="15" width="11.5" style="8" customWidth="1"/>
    <col min="16" max="16" width="7.08203125" style="150" hidden="1" customWidth="1"/>
    <col min="17" max="16384" width="9" style="4"/>
  </cols>
  <sheetData>
    <row r="1" spans="1:65" s="1" customFormat="1" ht="15" hidden="1" customHeight="1" thickTop="1" x14ac:dyDescent="0.3">
      <c r="A1" s="2"/>
      <c r="B1" s="3"/>
      <c r="C1" s="3"/>
      <c r="D1" s="3"/>
      <c r="E1" s="3"/>
      <c r="F1" s="3"/>
      <c r="G1" s="3"/>
      <c r="H1" s="3"/>
      <c r="I1" s="163"/>
      <c r="J1" s="3"/>
      <c r="K1" s="3"/>
      <c r="L1" s="3"/>
      <c r="M1" s="3"/>
      <c r="N1" s="3"/>
      <c r="O1" s="3"/>
      <c r="P1" s="151"/>
    </row>
    <row r="2" spans="1:65" ht="20.5" thickBot="1" x14ac:dyDescent="0.35">
      <c r="A2" s="188" t="s">
        <v>25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90"/>
    </row>
    <row r="3" spans="1:65" ht="18" customHeight="1" x14ac:dyDescent="0.3">
      <c r="A3" s="19" t="s">
        <v>31</v>
      </c>
      <c r="B3" s="123" t="s">
        <v>68</v>
      </c>
      <c r="C3" s="108"/>
      <c r="D3" s="22"/>
      <c r="E3" s="23"/>
      <c r="F3" s="23"/>
      <c r="G3" s="23"/>
      <c r="H3" s="23"/>
      <c r="I3" s="164"/>
      <c r="J3" s="20"/>
      <c r="K3" s="20"/>
      <c r="L3" s="20"/>
      <c r="M3" s="20"/>
      <c r="N3" s="11"/>
      <c r="O3" s="21"/>
    </row>
    <row r="4" spans="1:65" ht="18" customHeight="1" x14ac:dyDescent="0.3">
      <c r="A4" s="24" t="s">
        <v>19</v>
      </c>
      <c r="B4" s="12" t="s">
        <v>67</v>
      </c>
      <c r="C4" s="108"/>
      <c r="D4" s="25"/>
      <c r="E4" s="25"/>
      <c r="F4" s="23"/>
      <c r="G4" s="23"/>
      <c r="H4" s="23"/>
      <c r="I4" s="165"/>
      <c r="J4" s="111"/>
      <c r="K4" s="111"/>
      <c r="L4" s="111"/>
      <c r="M4" s="111"/>
      <c r="N4" s="112"/>
      <c r="O4" s="26"/>
    </row>
    <row r="5" spans="1:65" ht="18" customHeight="1" x14ac:dyDescent="0.3">
      <c r="A5" s="24"/>
      <c r="B5" s="110"/>
      <c r="C5" s="109"/>
      <c r="D5" s="25"/>
      <c r="E5" s="25"/>
      <c r="F5" s="23"/>
      <c r="G5" s="23"/>
      <c r="H5" s="23"/>
      <c r="I5" s="165"/>
      <c r="J5" s="111"/>
      <c r="K5" s="111"/>
      <c r="L5" s="111"/>
      <c r="M5" s="111"/>
      <c r="N5" s="112"/>
      <c r="O5" s="26"/>
    </row>
    <row r="6" spans="1:65" ht="18" customHeight="1" x14ac:dyDescent="0.3">
      <c r="A6" s="24"/>
      <c r="B6" s="110"/>
      <c r="C6" s="109"/>
      <c r="D6" s="25"/>
      <c r="E6" s="25"/>
      <c r="F6" s="23"/>
      <c r="G6" s="23"/>
      <c r="H6" s="23"/>
      <c r="I6" s="165"/>
      <c r="J6" s="111"/>
      <c r="K6" s="111"/>
      <c r="L6" s="111"/>
      <c r="M6" s="111"/>
      <c r="N6" s="112"/>
      <c r="O6" s="26"/>
    </row>
    <row r="7" spans="1:65" ht="6.75" customHeight="1" x14ac:dyDescent="0.3">
      <c r="A7" s="24"/>
      <c r="B7" s="110"/>
      <c r="C7" s="25"/>
      <c r="D7" s="25"/>
      <c r="E7" s="25"/>
      <c r="F7" s="23"/>
      <c r="G7" s="23"/>
      <c r="H7" s="23"/>
      <c r="I7" s="165"/>
      <c r="J7" s="111"/>
      <c r="K7" s="111"/>
      <c r="L7" s="111"/>
      <c r="M7" s="111"/>
      <c r="N7" s="112"/>
      <c r="O7" s="26"/>
    </row>
    <row r="8" spans="1:65" ht="18.5" thickBot="1" x14ac:dyDescent="0.35">
      <c r="A8" s="27"/>
      <c r="B8" s="107"/>
      <c r="C8" s="28"/>
      <c r="D8" s="22"/>
      <c r="E8" s="23"/>
      <c r="F8" s="23"/>
      <c r="G8" s="23"/>
      <c r="H8" s="23"/>
      <c r="I8" s="165"/>
      <c r="J8" s="20"/>
      <c r="K8" s="20"/>
      <c r="L8" s="20"/>
      <c r="M8" s="20"/>
      <c r="N8" s="11" t="s">
        <v>16</v>
      </c>
      <c r="O8" s="21">
        <f ca="1">TODAY()</f>
        <v>46095</v>
      </c>
    </row>
    <row r="9" spans="1:65" s="1" customFormat="1" ht="59.4" customHeight="1" thickTop="1" x14ac:dyDescent="0.3">
      <c r="A9" s="119" t="s">
        <v>6</v>
      </c>
      <c r="B9" s="120" t="s">
        <v>32</v>
      </c>
      <c r="C9" s="121" t="s">
        <v>0</v>
      </c>
      <c r="D9" s="121" t="s">
        <v>2</v>
      </c>
      <c r="E9" s="121" t="s">
        <v>1</v>
      </c>
      <c r="F9" s="121" t="s">
        <v>20</v>
      </c>
      <c r="G9" s="121" t="s">
        <v>21</v>
      </c>
      <c r="H9" s="121" t="s">
        <v>33</v>
      </c>
      <c r="I9" s="166" t="s">
        <v>34</v>
      </c>
      <c r="J9" s="121" t="s">
        <v>26</v>
      </c>
      <c r="K9" s="121" t="s">
        <v>27</v>
      </c>
      <c r="L9" s="121" t="s">
        <v>53</v>
      </c>
      <c r="M9" s="121" t="s">
        <v>54</v>
      </c>
      <c r="N9" s="121" t="s">
        <v>5</v>
      </c>
      <c r="O9" s="122" t="s">
        <v>9</v>
      </c>
      <c r="P9" s="159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</row>
    <row r="10" spans="1:65" s="157" customFormat="1" ht="17.5" x14ac:dyDescent="0.3">
      <c r="A10" s="156"/>
      <c r="B10" s="152"/>
      <c r="C10" s="153"/>
      <c r="D10" s="158" t="s">
        <v>51</v>
      </c>
      <c r="E10" s="158"/>
      <c r="F10" s="158"/>
      <c r="G10" s="158"/>
      <c r="H10" s="158"/>
      <c r="I10" s="167"/>
      <c r="J10" s="158"/>
      <c r="K10" s="158"/>
      <c r="L10" s="158"/>
      <c r="M10" s="158"/>
      <c r="N10" s="154"/>
      <c r="O10" s="155"/>
      <c r="P10" s="159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</row>
    <row r="11" spans="1:65" s="9" customFormat="1" ht="18" customHeight="1" x14ac:dyDescent="0.3">
      <c r="A11" s="50"/>
      <c r="B11" s="51"/>
      <c r="C11" s="52"/>
      <c r="D11" s="53" t="s">
        <v>18</v>
      </c>
      <c r="E11" s="54"/>
      <c r="F11" s="54"/>
      <c r="G11" s="54"/>
      <c r="H11" s="54"/>
      <c r="I11" s="168"/>
      <c r="J11" s="54"/>
      <c r="K11" s="54"/>
      <c r="L11" s="54"/>
      <c r="M11" s="54"/>
      <c r="N11" s="55"/>
      <c r="O11" s="56"/>
      <c r="P11" s="160">
        <f>SUM(O39:O45)/2</f>
        <v>37171.777499999997</v>
      </c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</row>
    <row r="12" spans="1:65" x14ac:dyDescent="0.3">
      <c r="A12" s="29">
        <f>IF(F12&lt;&gt;"",1+MAX($A$2:A11),"")</f>
        <v>1</v>
      </c>
      <c r="B12" s="30"/>
      <c r="C12" s="31" t="s">
        <v>38</v>
      </c>
      <c r="D12" s="32" t="s">
        <v>4</v>
      </c>
      <c r="E12" s="32">
        <v>1</v>
      </c>
      <c r="F12" s="33">
        <v>0</v>
      </c>
      <c r="G12" s="34">
        <f t="shared" ref="G12:G18" si="0">(F12*E12)+E12</f>
        <v>1</v>
      </c>
      <c r="H12" s="35">
        <f>$P$11*P12/I12</f>
        <v>7.4343554999999988</v>
      </c>
      <c r="I12" s="169">
        <v>50</v>
      </c>
      <c r="J12" s="36">
        <f t="shared" ref="J12:J18" si="1">H12*I12</f>
        <v>371.71777499999996</v>
      </c>
      <c r="K12" s="36">
        <v>0</v>
      </c>
      <c r="L12" s="36">
        <f t="shared" ref="L12:L18" si="2">J12*G12</f>
        <v>371.71777499999996</v>
      </c>
      <c r="M12" s="36">
        <f t="shared" ref="M12:M18" si="3">K12*G12</f>
        <v>0</v>
      </c>
      <c r="N12" s="37">
        <f t="shared" ref="N12:N18" si="4">J12+K12</f>
        <v>371.71777499999996</v>
      </c>
      <c r="O12" s="38">
        <f t="shared" ref="O12:O18" si="5">G12*N12</f>
        <v>371.71777499999996</v>
      </c>
      <c r="P12" s="161">
        <v>0.01</v>
      </c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</row>
    <row r="13" spans="1:65" x14ac:dyDescent="0.3">
      <c r="A13" s="29">
        <f>IF(F13&lt;&gt;"",1+MAX($A$2:A12),"")</f>
        <v>2</v>
      </c>
      <c r="B13" s="39"/>
      <c r="C13" s="100" t="s">
        <v>39</v>
      </c>
      <c r="D13" s="32" t="s">
        <v>4</v>
      </c>
      <c r="E13" s="40">
        <v>1</v>
      </c>
      <c r="F13" s="41">
        <v>0</v>
      </c>
      <c r="G13" s="42">
        <f t="shared" si="0"/>
        <v>1</v>
      </c>
      <c r="H13" s="35">
        <f t="shared" ref="H13:H18" si="6">$P$11*P13/I13</f>
        <v>22.303066499999996</v>
      </c>
      <c r="I13" s="169">
        <v>50</v>
      </c>
      <c r="J13" s="36">
        <f t="shared" si="1"/>
        <v>1115.1533249999998</v>
      </c>
      <c r="K13" s="43">
        <v>0</v>
      </c>
      <c r="L13" s="36">
        <f t="shared" si="2"/>
        <v>1115.1533249999998</v>
      </c>
      <c r="M13" s="36">
        <f t="shared" si="3"/>
        <v>0</v>
      </c>
      <c r="N13" s="37">
        <f t="shared" si="4"/>
        <v>1115.1533249999998</v>
      </c>
      <c r="O13" s="38">
        <f t="shared" si="5"/>
        <v>1115.1533249999998</v>
      </c>
      <c r="P13" s="161">
        <v>0.03</v>
      </c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</row>
    <row r="14" spans="1:65" x14ac:dyDescent="0.3">
      <c r="A14" s="29">
        <f>IF(F14&lt;&gt;"",1+MAX($A$2:A13),"")</f>
        <v>3</v>
      </c>
      <c r="B14" s="39"/>
      <c r="C14" s="100" t="s">
        <v>40</v>
      </c>
      <c r="D14" s="32" t="s">
        <v>4</v>
      </c>
      <c r="E14" s="40">
        <v>1</v>
      </c>
      <c r="F14" s="41">
        <v>0</v>
      </c>
      <c r="G14" s="42">
        <f t="shared" si="0"/>
        <v>1</v>
      </c>
      <c r="H14" s="35">
        <f t="shared" si="6"/>
        <v>7.4343554999999988</v>
      </c>
      <c r="I14" s="169">
        <v>50</v>
      </c>
      <c r="J14" s="36">
        <f t="shared" si="1"/>
        <v>371.71777499999996</v>
      </c>
      <c r="K14" s="43">
        <v>0</v>
      </c>
      <c r="L14" s="36">
        <f t="shared" si="2"/>
        <v>371.71777499999996</v>
      </c>
      <c r="M14" s="36">
        <f t="shared" si="3"/>
        <v>0</v>
      </c>
      <c r="N14" s="37">
        <f t="shared" si="4"/>
        <v>371.71777499999996</v>
      </c>
      <c r="O14" s="38">
        <f t="shared" si="5"/>
        <v>371.71777499999996</v>
      </c>
      <c r="P14" s="161">
        <v>0.01</v>
      </c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</row>
    <row r="15" spans="1:65" x14ac:dyDescent="0.3">
      <c r="A15" s="29">
        <f>IF(F15&lt;&gt;"",1+MAX($A$2:A14),"")</f>
        <v>4</v>
      </c>
      <c r="B15" s="39"/>
      <c r="C15" s="100" t="s">
        <v>8</v>
      </c>
      <c r="D15" s="32" t="s">
        <v>4</v>
      </c>
      <c r="E15" s="40">
        <v>1</v>
      </c>
      <c r="F15" s="41">
        <v>0</v>
      </c>
      <c r="G15" s="42">
        <f t="shared" si="0"/>
        <v>1</v>
      </c>
      <c r="H15" s="35">
        <f t="shared" si="6"/>
        <v>3.7171777499999994</v>
      </c>
      <c r="I15" s="169">
        <v>50</v>
      </c>
      <c r="J15" s="36">
        <f t="shared" si="1"/>
        <v>185.85888749999998</v>
      </c>
      <c r="K15" s="43">
        <v>0</v>
      </c>
      <c r="L15" s="36">
        <f t="shared" si="2"/>
        <v>185.85888749999998</v>
      </c>
      <c r="M15" s="36">
        <f t="shared" si="3"/>
        <v>0</v>
      </c>
      <c r="N15" s="37">
        <f t="shared" si="4"/>
        <v>185.85888749999998</v>
      </c>
      <c r="O15" s="38">
        <f t="shared" si="5"/>
        <v>185.85888749999998</v>
      </c>
      <c r="P15" s="162">
        <v>5.0000000000000001E-3</v>
      </c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</row>
    <row r="16" spans="1:65" x14ac:dyDescent="0.3">
      <c r="A16" s="29">
        <f>IF(F16&lt;&gt;"",1+MAX($A$2:A15),"")</f>
        <v>5</v>
      </c>
      <c r="B16" s="39"/>
      <c r="C16" s="100" t="s">
        <v>41</v>
      </c>
      <c r="D16" s="32" t="s">
        <v>4</v>
      </c>
      <c r="E16" s="40">
        <v>1</v>
      </c>
      <c r="F16" s="41">
        <v>0</v>
      </c>
      <c r="G16" s="42">
        <f t="shared" si="0"/>
        <v>1</v>
      </c>
      <c r="H16" s="35">
        <f t="shared" si="6"/>
        <v>14.868710999999998</v>
      </c>
      <c r="I16" s="169">
        <v>50</v>
      </c>
      <c r="J16" s="36">
        <f t="shared" si="1"/>
        <v>743.43554999999992</v>
      </c>
      <c r="K16" s="43">
        <v>0</v>
      </c>
      <c r="L16" s="36">
        <f t="shared" si="2"/>
        <v>743.43554999999992</v>
      </c>
      <c r="M16" s="36">
        <f t="shared" si="3"/>
        <v>0</v>
      </c>
      <c r="N16" s="37">
        <f t="shared" si="4"/>
        <v>743.43554999999992</v>
      </c>
      <c r="O16" s="38">
        <f t="shared" si="5"/>
        <v>743.43554999999992</v>
      </c>
      <c r="P16" s="162">
        <v>0.02</v>
      </c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</row>
    <row r="17" spans="1:16" x14ac:dyDescent="0.3">
      <c r="A17" s="29">
        <f>IF(F17&lt;&gt;"",1+MAX($A$2:A16),"")</f>
        <v>6</v>
      </c>
      <c r="B17" s="39"/>
      <c r="C17" s="100" t="s">
        <v>42</v>
      </c>
      <c r="D17" s="32" t="s">
        <v>4</v>
      </c>
      <c r="E17" s="40">
        <v>1</v>
      </c>
      <c r="F17" s="41">
        <v>0</v>
      </c>
      <c r="G17" s="42">
        <f t="shared" si="0"/>
        <v>1</v>
      </c>
      <c r="H17" s="35">
        <f t="shared" si="6"/>
        <v>18.585888749999999</v>
      </c>
      <c r="I17" s="169">
        <v>50</v>
      </c>
      <c r="J17" s="36">
        <f t="shared" si="1"/>
        <v>929.29443749999996</v>
      </c>
      <c r="K17" s="43">
        <v>0</v>
      </c>
      <c r="L17" s="36">
        <f t="shared" si="2"/>
        <v>929.29443749999996</v>
      </c>
      <c r="M17" s="36">
        <f t="shared" si="3"/>
        <v>0</v>
      </c>
      <c r="N17" s="37">
        <f t="shared" si="4"/>
        <v>929.29443749999996</v>
      </c>
      <c r="O17" s="38">
        <f t="shared" si="5"/>
        <v>929.29443749999996</v>
      </c>
      <c r="P17" s="162">
        <v>2.5000000000000001E-2</v>
      </c>
    </row>
    <row r="18" spans="1:16" x14ac:dyDescent="0.3">
      <c r="A18" s="29">
        <f>IF(F18&lt;&gt;"",1+MAX($A$2:A17),"")</f>
        <v>7</v>
      </c>
      <c r="B18" s="39"/>
      <c r="C18" s="100" t="s">
        <v>43</v>
      </c>
      <c r="D18" s="32" t="s">
        <v>4</v>
      </c>
      <c r="E18" s="40">
        <v>1</v>
      </c>
      <c r="F18" s="41">
        <v>0</v>
      </c>
      <c r="G18" s="42">
        <f t="shared" si="0"/>
        <v>1</v>
      </c>
      <c r="H18" s="35">
        <f t="shared" si="6"/>
        <v>14.868710999999998</v>
      </c>
      <c r="I18" s="169">
        <v>50</v>
      </c>
      <c r="J18" s="36">
        <f t="shared" si="1"/>
        <v>743.43554999999992</v>
      </c>
      <c r="K18" s="43">
        <v>0</v>
      </c>
      <c r="L18" s="36">
        <f t="shared" si="2"/>
        <v>743.43554999999992</v>
      </c>
      <c r="M18" s="36">
        <f t="shared" si="3"/>
        <v>0</v>
      </c>
      <c r="N18" s="37">
        <f t="shared" si="4"/>
        <v>743.43554999999992</v>
      </c>
      <c r="O18" s="38">
        <f t="shared" si="5"/>
        <v>743.43554999999992</v>
      </c>
      <c r="P18" s="162">
        <v>0.02</v>
      </c>
    </row>
    <row r="19" spans="1:16" ht="18" customHeight="1" x14ac:dyDescent="0.3">
      <c r="A19" s="29" t="str">
        <f>IF(F19&lt;&gt;"",1+MAX($A$2:A18),"")</f>
        <v/>
      </c>
      <c r="B19" s="39"/>
      <c r="C19" s="100"/>
      <c r="D19" s="127"/>
      <c r="E19" s="40"/>
      <c r="F19" s="41"/>
      <c r="G19" s="42"/>
      <c r="H19" s="35"/>
      <c r="I19" s="169"/>
      <c r="J19" s="43"/>
      <c r="K19" s="43"/>
      <c r="L19" s="43"/>
      <c r="M19" s="43"/>
      <c r="N19" s="44"/>
      <c r="O19" s="45"/>
      <c r="P19" s="149"/>
    </row>
    <row r="20" spans="1:16" s="1" customFormat="1" x14ac:dyDescent="0.3">
      <c r="A20" s="146" t="str">
        <f>IF(F20&lt;&gt;"",1+MAX($A$2:A19),"")</f>
        <v/>
      </c>
      <c r="B20" s="46"/>
      <c r="C20" s="46"/>
      <c r="D20" s="46"/>
      <c r="E20" s="46"/>
      <c r="F20" s="46"/>
      <c r="G20" s="46"/>
      <c r="H20" s="46"/>
      <c r="I20" s="170"/>
      <c r="J20" s="47"/>
      <c r="K20" s="47"/>
      <c r="L20" s="49">
        <f>SUM(L12:L19)</f>
        <v>4460.6133</v>
      </c>
      <c r="M20" s="49">
        <f>SUM(M12:M19)</f>
        <v>0</v>
      </c>
      <c r="N20" s="48" t="s">
        <v>22</v>
      </c>
      <c r="O20" s="49">
        <f>SUM(O12:O19)</f>
        <v>4460.6133</v>
      </c>
      <c r="P20" s="150"/>
    </row>
    <row r="21" spans="1:16" ht="18" customHeight="1" x14ac:dyDescent="0.3">
      <c r="A21" s="148" t="str">
        <f>IF(F21&lt;&gt;"",1+MAX($A$2:A5),"")</f>
        <v/>
      </c>
      <c r="B21" s="61"/>
      <c r="C21" s="61"/>
      <c r="D21" s="62"/>
      <c r="E21" s="113"/>
      <c r="F21" s="63"/>
      <c r="G21" s="113"/>
      <c r="H21" s="114"/>
      <c r="I21" s="171"/>
      <c r="J21" s="64"/>
      <c r="K21" s="64"/>
      <c r="L21" s="64"/>
      <c r="M21" s="64"/>
      <c r="N21" s="115"/>
      <c r="O21" s="65"/>
      <c r="P21" s="149"/>
    </row>
    <row r="22" spans="1:16" ht="18" customHeight="1" x14ac:dyDescent="0.3">
      <c r="A22" s="147" t="str">
        <f>IF(F22&lt;&gt;"",1+MAX($A$2:A21),"")</f>
        <v/>
      </c>
      <c r="B22" s="51"/>
      <c r="C22" s="52"/>
      <c r="D22" s="53" t="s">
        <v>55</v>
      </c>
      <c r="E22" s="54"/>
      <c r="F22" s="54"/>
      <c r="G22" s="54"/>
      <c r="H22" s="54"/>
      <c r="I22" s="168"/>
      <c r="J22" s="54"/>
      <c r="K22" s="54"/>
      <c r="L22" s="54"/>
      <c r="M22" s="54"/>
      <c r="N22" s="55"/>
      <c r="O22" s="56"/>
      <c r="P22" s="149"/>
    </row>
    <row r="23" spans="1:16" x14ac:dyDescent="0.3">
      <c r="A23" s="66" t="str">
        <f>IF(F23&lt;&gt;"",1+MAX($A$2:A22),"")</f>
        <v/>
      </c>
      <c r="B23" s="198"/>
      <c r="C23" s="57"/>
      <c r="D23" s="58"/>
      <c r="E23" s="40"/>
      <c r="F23" s="41"/>
      <c r="G23" s="42"/>
      <c r="H23" s="35"/>
      <c r="I23" s="169"/>
      <c r="J23" s="43"/>
      <c r="K23" s="43"/>
      <c r="L23" s="36"/>
      <c r="M23" s="36"/>
      <c r="N23" s="44"/>
      <c r="O23" s="45"/>
      <c r="P23" s="149"/>
    </row>
    <row r="24" spans="1:16" x14ac:dyDescent="0.3">
      <c r="A24" s="66"/>
      <c r="B24" s="198"/>
      <c r="C24" s="100" t="s">
        <v>71</v>
      </c>
      <c r="D24" s="40" t="s">
        <v>56</v>
      </c>
      <c r="E24" s="40">
        <v>1</v>
      </c>
      <c r="F24" s="41">
        <v>0</v>
      </c>
      <c r="G24" s="42">
        <f t="shared" ref="G24" si="7">(F24*E24)+E24</f>
        <v>1</v>
      </c>
      <c r="H24" s="35">
        <f>0.765*2.5*3</f>
        <v>5.7375000000000007</v>
      </c>
      <c r="I24" s="169">
        <v>60</v>
      </c>
      <c r="J24" s="43">
        <f t="shared" ref="J24" si="8">H24*I24</f>
        <v>344.25000000000006</v>
      </c>
      <c r="K24" s="43">
        <f>91.1*2.5*3</f>
        <v>683.25</v>
      </c>
      <c r="L24" s="36">
        <f t="shared" ref="L24" si="9">J24*G24</f>
        <v>344.25000000000006</v>
      </c>
      <c r="M24" s="36">
        <f t="shared" ref="M24" si="10">K24*G24</f>
        <v>683.25</v>
      </c>
      <c r="N24" s="44">
        <f t="shared" ref="N24" si="11">+K24+J24</f>
        <v>1027.5</v>
      </c>
      <c r="O24" s="45">
        <f t="shared" ref="O24" si="12">G24*N24</f>
        <v>1027.5</v>
      </c>
      <c r="P24" s="149"/>
    </row>
    <row r="25" spans="1:16" ht="31" x14ac:dyDescent="0.3">
      <c r="A25" s="66">
        <f>IF(F25&lt;&gt;"",1+MAX($A$2:A23),"")</f>
        <v>8</v>
      </c>
      <c r="B25" s="198"/>
      <c r="C25" s="182" t="s">
        <v>72</v>
      </c>
      <c r="D25" s="40" t="s">
        <v>56</v>
      </c>
      <c r="E25" s="40">
        <v>1</v>
      </c>
      <c r="F25" s="41">
        <v>0</v>
      </c>
      <c r="G25" s="42">
        <f t="shared" ref="G25" si="13">(F25*E25)+E25</f>
        <v>1</v>
      </c>
      <c r="H25" s="35">
        <f>0.765*26*10</f>
        <v>198.9</v>
      </c>
      <c r="I25" s="169">
        <v>60</v>
      </c>
      <c r="J25" s="43">
        <f t="shared" ref="J25:J33" si="14">H25*I25</f>
        <v>11934</v>
      </c>
      <c r="K25" s="43">
        <f>91.1*26*10</f>
        <v>23686</v>
      </c>
      <c r="L25" s="36">
        <f t="shared" ref="L25:L33" si="15">J25*G25</f>
        <v>11934</v>
      </c>
      <c r="M25" s="36">
        <f t="shared" ref="M25:M33" si="16">K25*G25</f>
        <v>23686</v>
      </c>
      <c r="N25" s="44">
        <f t="shared" ref="N25" si="17">+K25+J25</f>
        <v>35620</v>
      </c>
      <c r="O25" s="45">
        <f t="shared" ref="O25:O33" si="18">G25*N25</f>
        <v>35620</v>
      </c>
      <c r="P25" s="149"/>
    </row>
    <row r="26" spans="1:16" ht="31" x14ac:dyDescent="0.3">
      <c r="A26" s="66">
        <f>IF(F26&lt;&gt;"",1+MAX($A$2:A25),"")</f>
        <v>9</v>
      </c>
      <c r="B26" s="198"/>
      <c r="C26" s="182" t="s">
        <v>73</v>
      </c>
      <c r="D26" s="40" t="s">
        <v>56</v>
      </c>
      <c r="E26" s="40">
        <v>2</v>
      </c>
      <c r="F26" s="41">
        <v>0</v>
      </c>
      <c r="G26" s="42">
        <f t="shared" ref="G26:G35" si="19">(F26*E26)+E26</f>
        <v>2</v>
      </c>
      <c r="H26" s="35">
        <f>0.765*6*(7+2/12)</f>
        <v>32.895000000000003</v>
      </c>
      <c r="I26" s="169">
        <v>60</v>
      </c>
      <c r="J26" s="43">
        <f t="shared" si="14"/>
        <v>1973.7000000000003</v>
      </c>
      <c r="K26" s="43">
        <f>91.1*6*(7+2/12)</f>
        <v>3917.2999999999997</v>
      </c>
      <c r="L26" s="36">
        <f t="shared" si="15"/>
        <v>3947.4000000000005</v>
      </c>
      <c r="M26" s="36">
        <f t="shared" si="16"/>
        <v>7834.5999999999995</v>
      </c>
      <c r="N26" s="44">
        <f t="shared" ref="N26:N33" si="20">+K26+J26</f>
        <v>5891</v>
      </c>
      <c r="O26" s="45">
        <f t="shared" si="18"/>
        <v>11782</v>
      </c>
      <c r="P26" s="149"/>
    </row>
    <row r="27" spans="1:16" x14ac:dyDescent="0.3">
      <c r="A27" s="66">
        <f>IF(F27&lt;&gt;"",1+MAX($A$2:A26),"")</f>
        <v>10</v>
      </c>
      <c r="B27" s="198"/>
      <c r="C27" s="100" t="s">
        <v>57</v>
      </c>
      <c r="D27" s="40" t="s">
        <v>56</v>
      </c>
      <c r="E27" s="40">
        <v>10</v>
      </c>
      <c r="F27" s="41">
        <v>0</v>
      </c>
      <c r="G27" s="42">
        <f t="shared" si="19"/>
        <v>10</v>
      </c>
      <c r="H27" s="35">
        <f>0.765*6*1.5</f>
        <v>6.8849999999999998</v>
      </c>
      <c r="I27" s="169">
        <v>60</v>
      </c>
      <c r="J27" s="43">
        <f t="shared" si="14"/>
        <v>413.09999999999997</v>
      </c>
      <c r="K27" s="43">
        <f>91.1*6*1.5</f>
        <v>819.89999999999986</v>
      </c>
      <c r="L27" s="36">
        <f t="shared" si="15"/>
        <v>4131</v>
      </c>
      <c r="M27" s="36">
        <f t="shared" si="16"/>
        <v>8198.9999999999982</v>
      </c>
      <c r="N27" s="44">
        <f t="shared" si="20"/>
        <v>1232.9999999999998</v>
      </c>
      <c r="O27" s="45">
        <f t="shared" si="18"/>
        <v>12329.999999999998</v>
      </c>
      <c r="P27" s="149"/>
    </row>
    <row r="28" spans="1:16" x14ac:dyDescent="0.3">
      <c r="A28" s="66">
        <f>IF(F28&lt;&gt;"",1+MAX($A$2:A27),"")</f>
        <v>11</v>
      </c>
      <c r="B28" s="198"/>
      <c r="C28" s="100" t="s">
        <v>58</v>
      </c>
      <c r="D28" s="40" t="s">
        <v>56</v>
      </c>
      <c r="E28" s="40">
        <v>3</v>
      </c>
      <c r="F28" s="41">
        <v>0</v>
      </c>
      <c r="G28" s="42">
        <f t="shared" si="19"/>
        <v>3</v>
      </c>
      <c r="H28" s="35">
        <f>0.765*6*1.5</f>
        <v>6.8849999999999998</v>
      </c>
      <c r="I28" s="169">
        <v>60</v>
      </c>
      <c r="J28" s="43">
        <f t="shared" si="14"/>
        <v>413.09999999999997</v>
      </c>
      <c r="K28" s="43">
        <f>91.1*6*1.5</f>
        <v>819.89999999999986</v>
      </c>
      <c r="L28" s="36">
        <f t="shared" si="15"/>
        <v>1239.3</v>
      </c>
      <c r="M28" s="36">
        <f t="shared" si="16"/>
        <v>2459.6999999999998</v>
      </c>
      <c r="N28" s="44">
        <f t="shared" si="20"/>
        <v>1232.9999999999998</v>
      </c>
      <c r="O28" s="45">
        <f t="shared" si="18"/>
        <v>3698.9999999999991</v>
      </c>
      <c r="P28" s="149"/>
    </row>
    <row r="29" spans="1:16" ht="31" x14ac:dyDescent="0.3">
      <c r="A29" s="66">
        <f>IF(F29&lt;&gt;"",1+MAX($A$2:A28),"")</f>
        <v>12</v>
      </c>
      <c r="B29" s="198"/>
      <c r="C29" s="182" t="s">
        <v>59</v>
      </c>
      <c r="D29" s="40" t="s">
        <v>56</v>
      </c>
      <c r="E29" s="40">
        <v>1</v>
      </c>
      <c r="F29" s="41">
        <v>0</v>
      </c>
      <c r="G29" s="42">
        <f t="shared" si="19"/>
        <v>1</v>
      </c>
      <c r="H29" s="35">
        <f>0.765*6*(7+2/12)</f>
        <v>32.895000000000003</v>
      </c>
      <c r="I29" s="169">
        <v>60</v>
      </c>
      <c r="J29" s="43">
        <f t="shared" si="14"/>
        <v>1973.7000000000003</v>
      </c>
      <c r="K29" s="43">
        <f>91.1*6*(7+2/12)</f>
        <v>3917.2999999999997</v>
      </c>
      <c r="L29" s="36">
        <f t="shared" si="15"/>
        <v>1973.7000000000003</v>
      </c>
      <c r="M29" s="36">
        <f t="shared" si="16"/>
        <v>3917.2999999999997</v>
      </c>
      <c r="N29" s="44">
        <f t="shared" si="20"/>
        <v>5891</v>
      </c>
      <c r="O29" s="45">
        <f t="shared" si="18"/>
        <v>5891</v>
      </c>
      <c r="P29" s="149"/>
    </row>
    <row r="30" spans="1:16" ht="46.5" x14ac:dyDescent="0.3">
      <c r="A30" s="66">
        <f>IF(F30&lt;&gt;"",1+MAX($A$2:A29),"")</f>
        <v>13</v>
      </c>
      <c r="B30" s="198"/>
      <c r="C30" s="182" t="s">
        <v>60</v>
      </c>
      <c r="D30" s="40" t="s">
        <v>56</v>
      </c>
      <c r="E30" s="40">
        <v>1</v>
      </c>
      <c r="F30" s="41">
        <v>0</v>
      </c>
      <c r="G30" s="42">
        <f t="shared" si="19"/>
        <v>1</v>
      </c>
      <c r="H30" s="35">
        <f>0.765*(11+8/12)*(7+2/12)</f>
        <v>63.962499999999991</v>
      </c>
      <c r="I30" s="169">
        <v>60</v>
      </c>
      <c r="J30" s="43">
        <f t="shared" si="14"/>
        <v>3837.7499999999995</v>
      </c>
      <c r="K30" s="43">
        <f>91.1*(11+8/12)*(7+2/12)</f>
        <v>7616.9722222222217</v>
      </c>
      <c r="L30" s="36">
        <f t="shared" si="15"/>
        <v>3837.7499999999995</v>
      </c>
      <c r="M30" s="36">
        <f t="shared" si="16"/>
        <v>7616.9722222222217</v>
      </c>
      <c r="N30" s="44">
        <f t="shared" si="20"/>
        <v>11454.722222222221</v>
      </c>
      <c r="O30" s="45">
        <f t="shared" si="18"/>
        <v>11454.722222222221</v>
      </c>
      <c r="P30" s="149"/>
    </row>
    <row r="31" spans="1:16" ht="31" x14ac:dyDescent="0.3">
      <c r="A31" s="66">
        <f>IF(F31&lt;&gt;"",1+MAX($A$2:A30),"")</f>
        <v>14</v>
      </c>
      <c r="B31" s="198"/>
      <c r="C31" s="182" t="s">
        <v>61</v>
      </c>
      <c r="D31" s="40" t="s">
        <v>56</v>
      </c>
      <c r="E31" s="40">
        <v>1</v>
      </c>
      <c r="F31" s="41">
        <v>0</v>
      </c>
      <c r="G31" s="42">
        <f t="shared" si="19"/>
        <v>1</v>
      </c>
      <c r="H31" s="35">
        <f>0.765*(11+8/12)*(7+2/12)</f>
        <v>63.962499999999991</v>
      </c>
      <c r="I31" s="169">
        <v>60</v>
      </c>
      <c r="J31" s="43">
        <f t="shared" si="14"/>
        <v>3837.7499999999995</v>
      </c>
      <c r="K31" s="43">
        <f>91.1*(11+8/12)*(7+2/12)</f>
        <v>7616.9722222222217</v>
      </c>
      <c r="L31" s="36">
        <f t="shared" si="15"/>
        <v>3837.7499999999995</v>
      </c>
      <c r="M31" s="36">
        <f t="shared" si="16"/>
        <v>7616.9722222222217</v>
      </c>
      <c r="N31" s="44">
        <f t="shared" si="20"/>
        <v>11454.722222222221</v>
      </c>
      <c r="O31" s="45">
        <f t="shared" si="18"/>
        <v>11454.722222222221</v>
      </c>
      <c r="P31" s="149"/>
    </row>
    <row r="32" spans="1:16" ht="62" x14ac:dyDescent="0.3">
      <c r="A32" s="66">
        <f>IF(F32&lt;&gt;"",1+MAX($A$2:A31),"")</f>
        <v>15</v>
      </c>
      <c r="B32" s="198"/>
      <c r="C32" s="182" t="s">
        <v>74</v>
      </c>
      <c r="D32" s="40" t="s">
        <v>56</v>
      </c>
      <c r="E32" s="40">
        <v>1</v>
      </c>
      <c r="F32" s="41">
        <v>0</v>
      </c>
      <c r="G32" s="42">
        <f t="shared" si="19"/>
        <v>1</v>
      </c>
      <c r="H32" s="35">
        <f>0.765*(10+9/12)*(8+4/12)</f>
        <v>68.531250000000014</v>
      </c>
      <c r="I32" s="169">
        <v>60</v>
      </c>
      <c r="J32" s="43">
        <f t="shared" si="14"/>
        <v>4111.8750000000009</v>
      </c>
      <c r="K32" s="43">
        <f>91.1*(10+9/12)*(8+4/12)</f>
        <v>8161.041666666667</v>
      </c>
      <c r="L32" s="36">
        <f t="shared" si="15"/>
        <v>4111.8750000000009</v>
      </c>
      <c r="M32" s="36">
        <f t="shared" si="16"/>
        <v>8161.041666666667</v>
      </c>
      <c r="N32" s="44">
        <f t="shared" si="20"/>
        <v>12272.916666666668</v>
      </c>
      <c r="O32" s="45">
        <f t="shared" si="18"/>
        <v>12272.916666666668</v>
      </c>
      <c r="P32" s="149"/>
    </row>
    <row r="33" spans="1:16" ht="46.5" x14ac:dyDescent="0.3">
      <c r="A33" s="66">
        <f>IF(F33&lt;&gt;"",1+MAX($A$2:A32),"")</f>
        <v>16</v>
      </c>
      <c r="B33" s="198"/>
      <c r="C33" s="182" t="s">
        <v>62</v>
      </c>
      <c r="D33" s="40" t="s">
        <v>56</v>
      </c>
      <c r="E33" s="40">
        <v>1</v>
      </c>
      <c r="F33" s="41">
        <v>0</v>
      </c>
      <c r="G33" s="42">
        <f t="shared" si="19"/>
        <v>1</v>
      </c>
      <c r="H33" s="35">
        <f>0.765*(4+4/12)*(8+4/12)</f>
        <v>27.625</v>
      </c>
      <c r="I33" s="169">
        <v>60</v>
      </c>
      <c r="J33" s="43">
        <f t="shared" si="14"/>
        <v>1657.5</v>
      </c>
      <c r="K33" s="43">
        <f>91.1*(4+4/12)*(8+4/12)</f>
        <v>3289.7222222222217</v>
      </c>
      <c r="L33" s="36">
        <f t="shared" si="15"/>
        <v>1657.5</v>
      </c>
      <c r="M33" s="36">
        <f t="shared" si="16"/>
        <v>3289.7222222222217</v>
      </c>
      <c r="N33" s="44">
        <f t="shared" si="20"/>
        <v>4947.2222222222217</v>
      </c>
      <c r="O33" s="45">
        <f t="shared" si="18"/>
        <v>4947.2222222222217</v>
      </c>
      <c r="P33" s="149"/>
    </row>
    <row r="34" spans="1:16" x14ac:dyDescent="0.3">
      <c r="A34" s="66">
        <f>IF(F34&lt;&gt;"",1+MAX($A$2:A33),"")</f>
        <v>17</v>
      </c>
      <c r="B34" s="181"/>
      <c r="C34" s="183" t="s">
        <v>75</v>
      </c>
      <c r="D34" s="40" t="s">
        <v>56</v>
      </c>
      <c r="E34" s="40">
        <v>1</v>
      </c>
      <c r="F34" s="41">
        <v>0</v>
      </c>
      <c r="G34" s="42">
        <f t="shared" si="19"/>
        <v>1</v>
      </c>
      <c r="H34" s="35">
        <v>3.8559999999999999</v>
      </c>
      <c r="I34" s="169">
        <v>60</v>
      </c>
      <c r="J34" s="43">
        <f t="shared" ref="J34" si="21">H34*I34</f>
        <v>231.35999999999999</v>
      </c>
      <c r="K34" s="43">
        <v>1150</v>
      </c>
      <c r="L34" s="36">
        <f t="shared" ref="L34" si="22">J34*G34</f>
        <v>231.35999999999999</v>
      </c>
      <c r="M34" s="36">
        <f t="shared" ref="M34" si="23">K34*G34</f>
        <v>1150</v>
      </c>
      <c r="N34" s="44">
        <f t="shared" ref="N34" si="24">+K34+J34</f>
        <v>1381.36</v>
      </c>
      <c r="O34" s="45">
        <f t="shared" ref="O34" si="25">G34*N34</f>
        <v>1381.36</v>
      </c>
      <c r="P34" s="149"/>
    </row>
    <row r="35" spans="1:16" x14ac:dyDescent="0.3">
      <c r="A35" s="66">
        <f>IF(F35&lt;&gt;"",1+MAX($A$2:A34),"")</f>
        <v>18</v>
      </c>
      <c r="B35" s="181"/>
      <c r="C35" s="183" t="s">
        <v>76</v>
      </c>
      <c r="D35" s="40" t="s">
        <v>56</v>
      </c>
      <c r="E35" s="40">
        <v>1</v>
      </c>
      <c r="F35" s="41">
        <v>0</v>
      </c>
      <c r="G35" s="42">
        <f t="shared" si="19"/>
        <v>1</v>
      </c>
      <c r="H35" s="35">
        <v>4.125</v>
      </c>
      <c r="I35" s="169">
        <v>60</v>
      </c>
      <c r="J35" s="43">
        <f t="shared" ref="J35" si="26">H35*I35</f>
        <v>247.5</v>
      </c>
      <c r="K35" s="43">
        <v>1350</v>
      </c>
      <c r="L35" s="36">
        <f t="shared" ref="L35" si="27">J35*G35</f>
        <v>247.5</v>
      </c>
      <c r="M35" s="36">
        <f t="shared" ref="M35" si="28">K35*G35</f>
        <v>1350</v>
      </c>
      <c r="N35" s="44">
        <f t="shared" ref="N35" si="29">+K35+J35</f>
        <v>1597.5</v>
      </c>
      <c r="O35" s="45">
        <f t="shared" ref="O35" si="30">G35*N35</f>
        <v>1597.5</v>
      </c>
      <c r="P35" s="149"/>
    </row>
    <row r="36" spans="1:16" x14ac:dyDescent="0.3">
      <c r="A36" s="66">
        <f>IF(F36&lt;&gt;"",1+MAX($A$2:A35),"")</f>
        <v>19</v>
      </c>
      <c r="B36" s="181"/>
      <c r="C36" s="183" t="s">
        <v>69</v>
      </c>
      <c r="D36" s="40" t="s">
        <v>70</v>
      </c>
      <c r="E36" s="40">
        <v>3</v>
      </c>
      <c r="F36" s="41">
        <v>0</v>
      </c>
      <c r="G36" s="42">
        <v>3</v>
      </c>
      <c r="H36" s="35"/>
      <c r="I36" s="169"/>
      <c r="J36" s="43"/>
      <c r="K36" s="43"/>
      <c r="L36" s="36"/>
      <c r="M36" s="36"/>
      <c r="N36" s="44"/>
      <c r="O36" s="45">
        <f>1500*3</f>
        <v>4500</v>
      </c>
      <c r="P36" s="149"/>
    </row>
    <row r="37" spans="1:16" x14ac:dyDescent="0.3">
      <c r="A37" s="66" t="str">
        <f>IF(F37&lt;&gt;"",1+MAX($A$2:A33),"")</f>
        <v/>
      </c>
      <c r="B37" s="59"/>
      <c r="C37" s="31"/>
      <c r="D37" s="40"/>
      <c r="E37" s="42"/>
      <c r="F37" s="41"/>
      <c r="G37" s="42"/>
      <c r="H37" s="35"/>
      <c r="I37" s="169"/>
      <c r="J37" s="43"/>
      <c r="K37" s="43"/>
      <c r="L37" s="43"/>
      <c r="M37" s="43"/>
      <c r="N37" s="44"/>
      <c r="O37" s="45"/>
      <c r="P37" s="149"/>
    </row>
    <row r="38" spans="1:16" s="1" customFormat="1" x14ac:dyDescent="0.3">
      <c r="A38" s="146" t="str">
        <f>IF(F38&lt;&gt;"",1+MAX($A$2:A37),"")</f>
        <v/>
      </c>
      <c r="B38" s="46"/>
      <c r="C38" s="46"/>
      <c r="D38" s="46"/>
      <c r="E38" s="46"/>
      <c r="F38" s="46"/>
      <c r="G38" s="46"/>
      <c r="H38" s="46"/>
      <c r="I38" s="170"/>
      <c r="J38" s="47"/>
      <c r="K38" s="47"/>
      <c r="L38" s="49">
        <f>SUM(L23:L37)</f>
        <v>37493.385000000002</v>
      </c>
      <c r="M38" s="49">
        <f>SUM(M23:M37)</f>
        <v>75964.55833333332</v>
      </c>
      <c r="N38" s="48" t="s">
        <v>22</v>
      </c>
      <c r="O38" s="49">
        <f>SUM(O23:O37)</f>
        <v>117957.94333333333</v>
      </c>
      <c r="P38" s="149"/>
    </row>
    <row r="39" spans="1:16" ht="18" customHeight="1" x14ac:dyDescent="0.3">
      <c r="A39" s="148" t="str">
        <f>IF(F39&lt;&gt;"",1+MAX($A$2:A20),"")</f>
        <v/>
      </c>
      <c r="B39" s="61"/>
      <c r="C39" s="61"/>
      <c r="D39" s="62"/>
      <c r="E39" s="113"/>
      <c r="F39" s="63"/>
      <c r="G39" s="113"/>
      <c r="H39" s="114"/>
      <c r="I39" s="171"/>
      <c r="J39" s="64"/>
      <c r="K39" s="64"/>
      <c r="L39" s="64"/>
      <c r="M39" s="64"/>
      <c r="N39" s="115"/>
      <c r="O39" s="65"/>
      <c r="P39" s="149"/>
    </row>
    <row r="40" spans="1:16" ht="18" customHeight="1" x14ac:dyDescent="0.3">
      <c r="A40" s="147" t="str">
        <f>IF(F40&lt;&gt;"",1+MAX($A$2:A39),"")</f>
        <v/>
      </c>
      <c r="B40" s="51"/>
      <c r="C40" s="52"/>
      <c r="D40" s="53" t="s">
        <v>35</v>
      </c>
      <c r="E40" s="54"/>
      <c r="F40" s="54"/>
      <c r="G40" s="54"/>
      <c r="H40" s="54"/>
      <c r="I40" s="168"/>
      <c r="J40" s="54"/>
      <c r="K40" s="54"/>
      <c r="L40" s="54"/>
      <c r="M40" s="54"/>
      <c r="N40" s="55"/>
      <c r="O40" s="56"/>
      <c r="P40" s="149"/>
    </row>
    <row r="41" spans="1:16" x14ac:dyDescent="0.3">
      <c r="A41" s="66" t="str">
        <f>IF(F41&lt;&gt;"",1+MAX($A$2:A40),"")</f>
        <v/>
      </c>
      <c r="B41" s="198"/>
      <c r="C41" s="57" t="s">
        <v>63</v>
      </c>
      <c r="D41" s="58"/>
      <c r="E41" s="40"/>
      <c r="F41" s="41"/>
      <c r="G41" s="42"/>
      <c r="H41" s="35"/>
      <c r="I41" s="169"/>
      <c r="J41" s="43"/>
      <c r="K41" s="43"/>
      <c r="L41" s="36"/>
      <c r="M41" s="36"/>
      <c r="N41" s="44"/>
      <c r="O41" s="45"/>
      <c r="P41" s="149"/>
    </row>
    <row r="42" spans="1:16" x14ac:dyDescent="0.3">
      <c r="A42" s="66">
        <f>IF(F42&lt;&gt;"",1+MAX($A$2:A41),"")</f>
        <v>20</v>
      </c>
      <c r="B42" s="198"/>
      <c r="C42" s="100" t="s">
        <v>64</v>
      </c>
      <c r="D42" s="40" t="s">
        <v>7</v>
      </c>
      <c r="E42" s="40">
        <v>990</v>
      </c>
      <c r="F42" s="41">
        <v>0.1</v>
      </c>
      <c r="G42" s="42">
        <f t="shared" ref="G42:G43" si="31">(F42*E42)+E42</f>
        <v>1089</v>
      </c>
      <c r="H42" s="35">
        <v>4.2000000000000003E-2</v>
      </c>
      <c r="I42" s="169">
        <v>60</v>
      </c>
      <c r="J42" s="43">
        <f>H42*I42</f>
        <v>2.52</v>
      </c>
      <c r="K42" s="43">
        <v>3.03</v>
      </c>
      <c r="L42" s="36">
        <f>J42*G42</f>
        <v>2744.28</v>
      </c>
      <c r="M42" s="36">
        <f>K42*G42</f>
        <v>3299.6699999999996</v>
      </c>
      <c r="N42" s="44">
        <f t="shared" ref="N42:N43" si="32">+K42+J42</f>
        <v>5.55</v>
      </c>
      <c r="O42" s="45">
        <f>G42*N42</f>
        <v>6043.95</v>
      </c>
      <c r="P42" s="149"/>
    </row>
    <row r="43" spans="1:16" x14ac:dyDescent="0.3">
      <c r="A43" s="66">
        <f>IF(F43&lt;&gt;"",1+MAX($A$2:A42),"")</f>
        <v>21</v>
      </c>
      <c r="B43" s="198"/>
      <c r="C43" s="100" t="s">
        <v>65</v>
      </c>
      <c r="D43" s="40" t="s">
        <v>7</v>
      </c>
      <c r="E43" s="40">
        <v>3577.5</v>
      </c>
      <c r="F43" s="41">
        <v>0.1</v>
      </c>
      <c r="G43" s="42">
        <f t="shared" si="31"/>
        <v>3935.25</v>
      </c>
      <c r="H43" s="35">
        <v>6.0999999999999999E-2</v>
      </c>
      <c r="I43" s="169">
        <v>60</v>
      </c>
      <c r="J43" s="43">
        <f>H43*I43</f>
        <v>3.66</v>
      </c>
      <c r="K43" s="43">
        <v>4.25</v>
      </c>
      <c r="L43" s="36">
        <f>J43*G43</f>
        <v>14403.015000000001</v>
      </c>
      <c r="M43" s="36">
        <f>K43*G43</f>
        <v>16724.8125</v>
      </c>
      <c r="N43" s="44">
        <f t="shared" si="32"/>
        <v>7.91</v>
      </c>
      <c r="O43" s="45">
        <f>G43*N43</f>
        <v>31127.827499999999</v>
      </c>
      <c r="P43" s="149"/>
    </row>
    <row r="44" spans="1:16" x14ac:dyDescent="0.3">
      <c r="A44" s="66" t="str">
        <f>IF(F44&lt;&gt;"",1+MAX($A$2:A43),"")</f>
        <v/>
      </c>
      <c r="B44" s="59"/>
      <c r="C44" s="31"/>
      <c r="D44" s="40"/>
      <c r="E44" s="42"/>
      <c r="F44" s="41"/>
      <c r="G44" s="42"/>
      <c r="H44" s="35"/>
      <c r="I44" s="169"/>
      <c r="J44" s="43"/>
      <c r="K44" s="43"/>
      <c r="L44" s="43"/>
      <c r="M44" s="43"/>
      <c r="N44" s="44"/>
      <c r="O44" s="45"/>
      <c r="P44" s="149"/>
    </row>
    <row r="45" spans="1:16" s="1" customFormat="1" x14ac:dyDescent="0.3">
      <c r="A45" s="146" t="str">
        <f>IF(F45&lt;&gt;"",1+MAX($A$2:A44),"")</f>
        <v/>
      </c>
      <c r="B45" s="46"/>
      <c r="C45" s="46"/>
      <c r="D45" s="46"/>
      <c r="E45" s="46"/>
      <c r="F45" s="46"/>
      <c r="G45" s="46"/>
      <c r="H45" s="46"/>
      <c r="I45" s="170"/>
      <c r="J45" s="47"/>
      <c r="K45" s="47"/>
      <c r="L45" s="49">
        <f>SUM(L41:L44)</f>
        <v>17147.295000000002</v>
      </c>
      <c r="M45" s="49">
        <f>SUM(M41:M44)</f>
        <v>20024.482499999998</v>
      </c>
      <c r="N45" s="48" t="s">
        <v>22</v>
      </c>
      <c r="O45" s="49">
        <f>SUM(O41:O44)</f>
        <v>37171.777499999997</v>
      </c>
      <c r="P45" s="149"/>
    </row>
    <row r="46" spans="1:16" x14ac:dyDescent="0.3">
      <c r="A46" s="60" t="str">
        <f>IF(E46&lt;&gt;"",1+MAX(A$1:$A45),"")</f>
        <v/>
      </c>
      <c r="B46" s="61"/>
      <c r="C46" s="61"/>
      <c r="D46" s="62"/>
      <c r="E46" s="113"/>
      <c r="F46" s="63"/>
      <c r="G46" s="113"/>
      <c r="H46" s="113"/>
      <c r="I46" s="171"/>
      <c r="J46" s="64"/>
      <c r="K46" s="64"/>
      <c r="L46" s="64"/>
      <c r="M46" s="64"/>
      <c r="N46" s="115"/>
      <c r="O46" s="65"/>
      <c r="P46" s="149"/>
    </row>
    <row r="47" spans="1:16" ht="20.149999999999999" customHeight="1" x14ac:dyDescent="0.3">
      <c r="A47" s="195" t="s">
        <v>10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  <c r="L47" s="68"/>
      <c r="M47" s="68"/>
      <c r="N47" s="69"/>
      <c r="O47" s="70">
        <f>SUM(O20+O38+O45,0)</f>
        <v>159590.33413333332</v>
      </c>
    </row>
    <row r="48" spans="1:16" ht="20.149999999999999" customHeight="1" x14ac:dyDescent="0.3">
      <c r="A48" s="71" t="s">
        <v>17</v>
      </c>
      <c r="B48" s="72"/>
      <c r="C48" s="67"/>
      <c r="D48" s="67"/>
      <c r="E48" s="67"/>
      <c r="F48" s="67"/>
      <c r="G48" s="67"/>
      <c r="H48" s="67"/>
      <c r="I48" s="172"/>
      <c r="J48" s="67"/>
      <c r="K48" s="68"/>
      <c r="L48" s="179"/>
      <c r="M48" s="179"/>
      <c r="N48" s="73">
        <v>0.3</v>
      </c>
      <c r="O48" s="74">
        <f>O47*N48</f>
        <v>47877.100239999992</v>
      </c>
    </row>
    <row r="49" spans="1:15" ht="20.149999999999999" customHeight="1" x14ac:dyDescent="0.3">
      <c r="A49" s="75" t="s">
        <v>3</v>
      </c>
      <c r="B49" s="76"/>
      <c r="C49" s="67"/>
      <c r="D49" s="67"/>
      <c r="E49" s="67"/>
      <c r="F49" s="67"/>
      <c r="G49" s="67"/>
      <c r="H49" s="67"/>
      <c r="I49" s="172"/>
      <c r="J49" s="67"/>
      <c r="K49" s="68"/>
      <c r="L49" s="179"/>
      <c r="M49" s="179"/>
      <c r="N49" s="77">
        <v>0</v>
      </c>
      <c r="O49" s="78">
        <f>O47*N49</f>
        <v>0</v>
      </c>
    </row>
    <row r="50" spans="1:15" ht="20.149999999999999" customHeight="1" x14ac:dyDescent="0.3">
      <c r="A50" s="75" t="s">
        <v>15</v>
      </c>
      <c r="B50" s="76"/>
      <c r="C50" s="67"/>
      <c r="D50" s="67"/>
      <c r="E50" s="67"/>
      <c r="F50" s="67"/>
      <c r="G50" s="67"/>
      <c r="H50" s="67"/>
      <c r="I50" s="172"/>
      <c r="J50" s="67"/>
      <c r="K50" s="68"/>
      <c r="L50" s="179"/>
      <c r="M50" s="179"/>
      <c r="N50" s="77">
        <v>0.05</v>
      </c>
      <c r="O50" s="74">
        <f>O47*N50</f>
        <v>7979.5167066666663</v>
      </c>
    </row>
    <row r="51" spans="1:15" ht="20.149999999999999" customHeight="1" thickBot="1" x14ac:dyDescent="0.35">
      <c r="A51" s="79" t="s">
        <v>23</v>
      </c>
      <c r="B51" s="80"/>
      <c r="C51" s="81"/>
      <c r="D51" s="81"/>
      <c r="E51" s="81"/>
      <c r="F51" s="81"/>
      <c r="G51" s="81"/>
      <c r="H51" s="81"/>
      <c r="I51" s="173"/>
      <c r="J51" s="81"/>
      <c r="K51" s="82"/>
      <c r="L51" s="180"/>
      <c r="M51" s="180"/>
      <c r="N51" s="83">
        <v>7.2969999999999993E-2</v>
      </c>
      <c r="O51" s="84">
        <f>O47*N51</f>
        <v>11645.306681709331</v>
      </c>
    </row>
    <row r="52" spans="1:15" ht="20.149999999999999" customHeight="1" thickBot="1" x14ac:dyDescent="0.35">
      <c r="A52" s="191" t="s">
        <v>11</v>
      </c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4"/>
      <c r="O52" s="85">
        <f>O47+O48+O49+O50+O51</f>
        <v>227092.25776170933</v>
      </c>
    </row>
    <row r="53" spans="1:15" ht="20.149999999999999" customHeight="1" thickBot="1" x14ac:dyDescent="0.35">
      <c r="A53" s="86" t="s">
        <v>45</v>
      </c>
      <c r="B53" s="87"/>
      <c r="C53" s="116"/>
      <c r="D53" s="116"/>
      <c r="E53" s="116"/>
      <c r="F53" s="116"/>
      <c r="G53" s="116"/>
      <c r="H53" s="116"/>
      <c r="I53" s="174"/>
      <c r="J53" s="116"/>
      <c r="K53" s="116"/>
      <c r="L53" s="116"/>
      <c r="M53" s="116"/>
      <c r="N53" s="117"/>
      <c r="O53" s="88"/>
    </row>
    <row r="54" spans="1:15" ht="20.149999999999999" customHeight="1" x14ac:dyDescent="0.3">
      <c r="A54" s="89"/>
      <c r="B54" s="118"/>
      <c r="C54" s="116"/>
      <c r="D54" s="116"/>
      <c r="E54" s="116"/>
      <c r="F54" s="116"/>
      <c r="G54" s="116"/>
      <c r="H54" s="116"/>
      <c r="I54" s="174"/>
      <c r="J54" s="116"/>
      <c r="K54" s="116"/>
      <c r="L54" s="116"/>
      <c r="M54" s="116"/>
      <c r="N54" s="117"/>
      <c r="O54" s="88" t="s">
        <v>30</v>
      </c>
    </row>
    <row r="55" spans="1:15" ht="20.149999999999999" customHeight="1" x14ac:dyDescent="0.3">
      <c r="A55" s="89"/>
      <c r="B55" s="118"/>
      <c r="C55" s="116"/>
      <c r="D55" s="116"/>
      <c r="E55" s="116"/>
      <c r="F55" s="116"/>
      <c r="G55" s="116"/>
      <c r="H55" s="116"/>
      <c r="I55" s="174"/>
      <c r="J55" s="116"/>
      <c r="K55" s="116"/>
      <c r="L55" s="116"/>
      <c r="M55" s="116"/>
      <c r="N55" s="117"/>
      <c r="O55" s="88"/>
    </row>
  </sheetData>
  <mergeCells count="5">
    <mergeCell ref="A52:N52"/>
    <mergeCell ref="A47:K47"/>
    <mergeCell ref="A2:O2"/>
    <mergeCell ref="B41:B43"/>
    <mergeCell ref="B23:B33"/>
  </mergeCells>
  <printOptions horizontalCentered="1"/>
  <pageMargins left="0.7" right="0.7" top="0.75" bottom="0.75" header="0.3" footer="0.3"/>
  <pageSetup paperSize="9" scale="50" fitToHeight="0" orientation="portrait" r:id="rId1"/>
  <headerFooter scaleWithDoc="0" alignWithMargins="0"/>
  <ignoredErrors>
    <ignoredError sqref="A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5D2A-3062-438E-8E4B-5361F8648C35}">
  <sheetPr>
    <tabColor rgb="FF0070C0"/>
    <pageSetUpPr fitToPage="1"/>
  </sheetPr>
  <dimension ref="A1:BM45"/>
  <sheetViews>
    <sheetView showGridLines="0" topLeftCell="C2" zoomScale="70" zoomScaleNormal="70" zoomScaleSheetLayoutView="115" workbookViewId="0">
      <selection activeCell="Q6" sqref="Q6"/>
    </sheetView>
  </sheetViews>
  <sheetFormatPr defaultColWidth="9" defaultRowHeight="15.5" x14ac:dyDescent="0.3"/>
  <cols>
    <col min="1" max="2" width="16" style="4" customWidth="1"/>
    <col min="3" max="3" width="121.4140625" style="4" bestFit="1" customWidth="1"/>
    <col min="4" max="4" width="10.58203125" style="4" customWidth="1"/>
    <col min="5" max="5" width="12.1640625" style="5" customWidth="1"/>
    <col min="6" max="6" width="11.08203125" style="5" customWidth="1"/>
    <col min="7" max="7" width="14.9140625" style="5" customWidth="1"/>
    <col min="8" max="8" width="12.08203125" style="5" customWidth="1"/>
    <col min="9" max="9" width="10" style="175" customWidth="1"/>
    <col min="10" max="10" width="12.58203125" style="4" customWidth="1"/>
    <col min="11" max="11" width="16.5" style="4" customWidth="1"/>
    <col min="12" max="12" width="13.6640625" style="4" customWidth="1"/>
    <col min="13" max="13" width="16.08203125" style="4" customWidth="1"/>
    <col min="14" max="14" width="12.08203125" style="8" customWidth="1"/>
    <col min="15" max="15" width="11.5" style="8" customWidth="1"/>
    <col min="16" max="16" width="7.08203125" style="150" hidden="1" customWidth="1"/>
    <col min="17" max="16384" width="9" style="4"/>
  </cols>
  <sheetData>
    <row r="1" spans="1:65" s="1" customFormat="1" ht="15" hidden="1" customHeight="1" thickTop="1" x14ac:dyDescent="0.3">
      <c r="A1" s="2"/>
      <c r="B1" s="3"/>
      <c r="C1" s="3"/>
      <c r="D1" s="3"/>
      <c r="E1" s="3"/>
      <c r="F1" s="3"/>
      <c r="G1" s="3"/>
      <c r="H1" s="3"/>
      <c r="I1" s="163"/>
      <c r="J1" s="3"/>
      <c r="K1" s="3"/>
      <c r="L1" s="3"/>
      <c r="M1" s="3"/>
      <c r="N1" s="3"/>
      <c r="O1" s="3"/>
      <c r="P1" s="151"/>
    </row>
    <row r="2" spans="1:65" ht="20.5" thickBot="1" x14ac:dyDescent="0.35">
      <c r="A2" s="188" t="s">
        <v>25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90"/>
    </row>
    <row r="3" spans="1:65" ht="18" customHeight="1" x14ac:dyDescent="0.3">
      <c r="A3" s="19" t="s">
        <v>31</v>
      </c>
      <c r="B3" s="123" t="s">
        <v>68</v>
      </c>
      <c r="C3" s="108"/>
      <c r="D3" s="22"/>
      <c r="E3" s="23"/>
      <c r="F3" s="23"/>
      <c r="G3" s="23"/>
      <c r="H3" s="23"/>
      <c r="I3" s="164"/>
      <c r="J3" s="20"/>
      <c r="K3" s="20"/>
      <c r="L3" s="20"/>
      <c r="M3" s="20"/>
      <c r="N3" s="11"/>
      <c r="O3" s="21"/>
    </row>
    <row r="4" spans="1:65" ht="18" customHeight="1" x14ac:dyDescent="0.3">
      <c r="A4" s="24" t="s">
        <v>19</v>
      </c>
      <c r="B4" s="12" t="s">
        <v>67</v>
      </c>
      <c r="C4" s="108"/>
      <c r="D4" s="25"/>
      <c r="E4" s="25"/>
      <c r="F4" s="23"/>
      <c r="G4" s="23"/>
      <c r="H4" s="23"/>
      <c r="I4" s="165"/>
      <c r="J4" s="111"/>
      <c r="K4" s="111"/>
      <c r="L4" s="111"/>
      <c r="M4" s="111"/>
      <c r="N4" s="112"/>
      <c r="O4" s="26"/>
    </row>
    <row r="5" spans="1:65" ht="18" customHeight="1" x14ac:dyDescent="0.3">
      <c r="A5" s="24"/>
      <c r="B5" s="110"/>
      <c r="C5" s="109"/>
      <c r="D5" s="25"/>
      <c r="E5" s="25"/>
      <c r="F5" s="23"/>
      <c r="G5" s="23"/>
      <c r="H5" s="23"/>
      <c r="I5" s="165"/>
      <c r="J5" s="111"/>
      <c r="K5" s="111"/>
      <c r="L5" s="111"/>
      <c r="M5" s="111"/>
      <c r="N5" s="112"/>
      <c r="O5" s="26"/>
    </row>
    <row r="6" spans="1:65" ht="18" customHeight="1" x14ac:dyDescent="0.3">
      <c r="A6" s="24"/>
      <c r="B6" s="110"/>
      <c r="C6" s="109"/>
      <c r="D6" s="25"/>
      <c r="E6" s="25"/>
      <c r="F6" s="23"/>
      <c r="G6" s="23"/>
      <c r="H6" s="23"/>
      <c r="I6" s="165"/>
      <c r="J6" s="111"/>
      <c r="K6" s="111"/>
      <c r="L6" s="111"/>
      <c r="M6" s="111"/>
      <c r="N6" s="112"/>
      <c r="O6" s="26"/>
    </row>
    <row r="7" spans="1:65" ht="6.75" customHeight="1" x14ac:dyDescent="0.3">
      <c r="A7" s="24"/>
      <c r="B7" s="110"/>
      <c r="C7" s="25"/>
      <c r="D7" s="25"/>
      <c r="E7" s="25"/>
      <c r="F7" s="23"/>
      <c r="G7" s="23"/>
      <c r="H7" s="23"/>
      <c r="I7" s="165"/>
      <c r="J7" s="111"/>
      <c r="K7" s="111"/>
      <c r="L7" s="111"/>
      <c r="M7" s="111"/>
      <c r="N7" s="112"/>
      <c r="O7" s="26"/>
    </row>
    <row r="8" spans="1:65" ht="18.5" thickBot="1" x14ac:dyDescent="0.35">
      <c r="A8" s="27"/>
      <c r="B8" s="107"/>
      <c r="C8" s="28"/>
      <c r="D8" s="22"/>
      <c r="E8" s="23"/>
      <c r="F8" s="23"/>
      <c r="G8" s="23"/>
      <c r="H8" s="23"/>
      <c r="I8" s="165"/>
      <c r="J8" s="20"/>
      <c r="K8" s="20"/>
      <c r="L8" s="20"/>
      <c r="M8" s="20"/>
      <c r="N8" s="11" t="s">
        <v>16</v>
      </c>
      <c r="O8" s="21">
        <f ca="1">TODAY()</f>
        <v>46095</v>
      </c>
    </row>
    <row r="9" spans="1:65" s="1" customFormat="1" ht="59.4" customHeight="1" thickTop="1" x14ac:dyDescent="0.3">
      <c r="A9" s="119" t="s">
        <v>6</v>
      </c>
      <c r="B9" s="120" t="s">
        <v>32</v>
      </c>
      <c r="C9" s="121" t="s">
        <v>0</v>
      </c>
      <c r="D9" s="121" t="s">
        <v>2</v>
      </c>
      <c r="E9" s="121" t="s">
        <v>1</v>
      </c>
      <c r="F9" s="121" t="s">
        <v>20</v>
      </c>
      <c r="G9" s="121" t="s">
        <v>21</v>
      </c>
      <c r="H9" s="121" t="s">
        <v>33</v>
      </c>
      <c r="I9" s="166" t="s">
        <v>34</v>
      </c>
      <c r="J9" s="121" t="s">
        <v>26</v>
      </c>
      <c r="K9" s="121" t="s">
        <v>27</v>
      </c>
      <c r="L9" s="121" t="s">
        <v>53</v>
      </c>
      <c r="M9" s="121" t="s">
        <v>54</v>
      </c>
      <c r="N9" s="121" t="s">
        <v>5</v>
      </c>
      <c r="O9" s="122" t="s">
        <v>9</v>
      </c>
      <c r="P9" s="159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</row>
    <row r="10" spans="1:65" s="157" customFormat="1" ht="17.5" x14ac:dyDescent="0.3">
      <c r="A10" s="156"/>
      <c r="B10" s="152"/>
      <c r="C10" s="153"/>
      <c r="D10" s="158" t="s">
        <v>51</v>
      </c>
      <c r="E10" s="158"/>
      <c r="F10" s="158"/>
      <c r="G10" s="158"/>
      <c r="H10" s="158"/>
      <c r="I10" s="167"/>
      <c r="J10" s="158"/>
      <c r="K10" s="158"/>
      <c r="L10" s="158"/>
      <c r="M10" s="158"/>
      <c r="N10" s="154"/>
      <c r="O10" s="155"/>
      <c r="P10" s="159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</row>
    <row r="11" spans="1:65" s="9" customFormat="1" ht="18" customHeight="1" x14ac:dyDescent="0.3">
      <c r="A11" s="50"/>
      <c r="B11" s="51"/>
      <c r="C11" s="52"/>
      <c r="D11" s="53" t="s">
        <v>18</v>
      </c>
      <c r="E11" s="54"/>
      <c r="F11" s="54"/>
      <c r="G11" s="54"/>
      <c r="H11" s="54"/>
      <c r="I11" s="168"/>
      <c r="J11" s="54"/>
      <c r="K11" s="54"/>
      <c r="L11" s="54"/>
      <c r="M11" s="54"/>
      <c r="N11" s="55"/>
      <c r="O11" s="56"/>
      <c r="P11" s="160">
        <f>SUM(O29:O35)/2</f>
        <v>9102.2470000000012</v>
      </c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</row>
    <row r="12" spans="1:65" x14ac:dyDescent="0.3">
      <c r="A12" s="29">
        <f>IF(F12&lt;&gt;"",1+MAX($A$2:A11),"")</f>
        <v>1</v>
      </c>
      <c r="B12" s="30"/>
      <c r="C12" s="31" t="s">
        <v>38</v>
      </c>
      <c r="D12" s="32" t="s">
        <v>4</v>
      </c>
      <c r="E12" s="32">
        <v>1</v>
      </c>
      <c r="F12" s="33">
        <v>0</v>
      </c>
      <c r="G12" s="34">
        <f t="shared" ref="G12:G18" si="0">(F12*E12)+E12</f>
        <v>1</v>
      </c>
      <c r="H12" s="35">
        <f>$P$11*P12/I12</f>
        <v>1.8204494000000002</v>
      </c>
      <c r="I12" s="169">
        <v>50</v>
      </c>
      <c r="J12" s="36">
        <f t="shared" ref="J12:J18" si="1">H12*I12</f>
        <v>91.022470000000013</v>
      </c>
      <c r="K12" s="36">
        <v>0</v>
      </c>
      <c r="L12" s="36">
        <f t="shared" ref="L12:L18" si="2">J12*G12</f>
        <v>91.022470000000013</v>
      </c>
      <c r="M12" s="36">
        <f t="shared" ref="M12:M18" si="3">K12*G12</f>
        <v>0</v>
      </c>
      <c r="N12" s="37">
        <f t="shared" ref="N12:N18" si="4">J12+K12</f>
        <v>91.022470000000013</v>
      </c>
      <c r="O12" s="38">
        <f t="shared" ref="O12:O18" si="5">G12*N12</f>
        <v>91.022470000000013</v>
      </c>
      <c r="P12" s="161">
        <v>0.01</v>
      </c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</row>
    <row r="13" spans="1:65" x14ac:dyDescent="0.3">
      <c r="A13" s="29">
        <f>IF(F13&lt;&gt;"",1+MAX($A$2:A12),"")</f>
        <v>2</v>
      </c>
      <c r="B13" s="39"/>
      <c r="C13" s="100" t="s">
        <v>39</v>
      </c>
      <c r="D13" s="32" t="s">
        <v>4</v>
      </c>
      <c r="E13" s="40">
        <v>1</v>
      </c>
      <c r="F13" s="41">
        <v>0</v>
      </c>
      <c r="G13" s="42">
        <f t="shared" si="0"/>
        <v>1</v>
      </c>
      <c r="H13" s="35">
        <f t="shared" ref="H13:H18" si="6">$P$11*P13/I13</f>
        <v>5.4613482000000007</v>
      </c>
      <c r="I13" s="169">
        <v>50</v>
      </c>
      <c r="J13" s="36">
        <f t="shared" si="1"/>
        <v>273.06741000000005</v>
      </c>
      <c r="K13" s="43">
        <v>0</v>
      </c>
      <c r="L13" s="36">
        <f t="shared" si="2"/>
        <v>273.06741000000005</v>
      </c>
      <c r="M13" s="36">
        <f t="shared" si="3"/>
        <v>0</v>
      </c>
      <c r="N13" s="37">
        <f t="shared" si="4"/>
        <v>273.06741000000005</v>
      </c>
      <c r="O13" s="38">
        <f t="shared" si="5"/>
        <v>273.06741000000005</v>
      </c>
      <c r="P13" s="161">
        <v>0.03</v>
      </c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</row>
    <row r="14" spans="1:65" x14ac:dyDescent="0.3">
      <c r="A14" s="29">
        <f>IF(F14&lt;&gt;"",1+MAX($A$2:A13),"")</f>
        <v>3</v>
      </c>
      <c r="B14" s="39"/>
      <c r="C14" s="100" t="s">
        <v>40</v>
      </c>
      <c r="D14" s="32" t="s">
        <v>4</v>
      </c>
      <c r="E14" s="40">
        <v>1</v>
      </c>
      <c r="F14" s="41">
        <v>0</v>
      </c>
      <c r="G14" s="42">
        <f t="shared" si="0"/>
        <v>1</v>
      </c>
      <c r="H14" s="35">
        <f t="shared" si="6"/>
        <v>1.8204494000000002</v>
      </c>
      <c r="I14" s="169">
        <v>50</v>
      </c>
      <c r="J14" s="36">
        <f t="shared" si="1"/>
        <v>91.022470000000013</v>
      </c>
      <c r="K14" s="43">
        <v>0</v>
      </c>
      <c r="L14" s="36">
        <f t="shared" si="2"/>
        <v>91.022470000000013</v>
      </c>
      <c r="M14" s="36">
        <f t="shared" si="3"/>
        <v>0</v>
      </c>
      <c r="N14" s="37">
        <f t="shared" si="4"/>
        <v>91.022470000000013</v>
      </c>
      <c r="O14" s="38">
        <f t="shared" si="5"/>
        <v>91.022470000000013</v>
      </c>
      <c r="P14" s="161">
        <v>0.01</v>
      </c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</row>
    <row r="15" spans="1:65" x14ac:dyDescent="0.3">
      <c r="A15" s="29">
        <f>IF(F15&lt;&gt;"",1+MAX($A$2:A14),"")</f>
        <v>4</v>
      </c>
      <c r="B15" s="39"/>
      <c r="C15" s="100" t="s">
        <v>8</v>
      </c>
      <c r="D15" s="32" t="s">
        <v>4</v>
      </c>
      <c r="E15" s="40">
        <v>1</v>
      </c>
      <c r="F15" s="41">
        <v>0</v>
      </c>
      <c r="G15" s="42">
        <f t="shared" si="0"/>
        <v>1</v>
      </c>
      <c r="H15" s="35">
        <f t="shared" si="6"/>
        <v>0.91022470000000011</v>
      </c>
      <c r="I15" s="169">
        <v>50</v>
      </c>
      <c r="J15" s="36">
        <f t="shared" si="1"/>
        <v>45.511235000000006</v>
      </c>
      <c r="K15" s="43">
        <v>0</v>
      </c>
      <c r="L15" s="36">
        <f t="shared" si="2"/>
        <v>45.511235000000006</v>
      </c>
      <c r="M15" s="36">
        <f t="shared" si="3"/>
        <v>0</v>
      </c>
      <c r="N15" s="37">
        <f t="shared" si="4"/>
        <v>45.511235000000006</v>
      </c>
      <c r="O15" s="38">
        <f t="shared" si="5"/>
        <v>45.511235000000006</v>
      </c>
      <c r="P15" s="162">
        <v>5.0000000000000001E-3</v>
      </c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</row>
    <row r="16" spans="1:65" x14ac:dyDescent="0.3">
      <c r="A16" s="29">
        <f>IF(F16&lt;&gt;"",1+MAX($A$2:A15),"")</f>
        <v>5</v>
      </c>
      <c r="B16" s="39"/>
      <c r="C16" s="100" t="s">
        <v>41</v>
      </c>
      <c r="D16" s="32" t="s">
        <v>4</v>
      </c>
      <c r="E16" s="40">
        <v>1</v>
      </c>
      <c r="F16" s="41">
        <v>0</v>
      </c>
      <c r="G16" s="42">
        <f t="shared" si="0"/>
        <v>1</v>
      </c>
      <c r="H16" s="35">
        <f t="shared" si="6"/>
        <v>3.6408988000000004</v>
      </c>
      <c r="I16" s="169">
        <v>50</v>
      </c>
      <c r="J16" s="36">
        <f t="shared" si="1"/>
        <v>182.04494000000003</v>
      </c>
      <c r="K16" s="43">
        <v>0</v>
      </c>
      <c r="L16" s="36">
        <f t="shared" si="2"/>
        <v>182.04494000000003</v>
      </c>
      <c r="M16" s="36">
        <f t="shared" si="3"/>
        <v>0</v>
      </c>
      <c r="N16" s="37">
        <f t="shared" si="4"/>
        <v>182.04494000000003</v>
      </c>
      <c r="O16" s="38">
        <f t="shared" si="5"/>
        <v>182.04494000000003</v>
      </c>
      <c r="P16" s="162">
        <v>0.02</v>
      </c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</row>
    <row r="17" spans="1:16" x14ac:dyDescent="0.3">
      <c r="A17" s="29">
        <f>IF(F17&lt;&gt;"",1+MAX($A$2:A16),"")</f>
        <v>6</v>
      </c>
      <c r="B17" s="39"/>
      <c r="C17" s="100" t="s">
        <v>42</v>
      </c>
      <c r="D17" s="32" t="s">
        <v>4</v>
      </c>
      <c r="E17" s="40">
        <v>1</v>
      </c>
      <c r="F17" s="41">
        <v>0</v>
      </c>
      <c r="G17" s="42">
        <f t="shared" si="0"/>
        <v>1</v>
      </c>
      <c r="H17" s="35">
        <f t="shared" si="6"/>
        <v>4.551123500000001</v>
      </c>
      <c r="I17" s="169">
        <v>50</v>
      </c>
      <c r="J17" s="36">
        <f t="shared" si="1"/>
        <v>227.55617500000005</v>
      </c>
      <c r="K17" s="43">
        <v>0</v>
      </c>
      <c r="L17" s="36">
        <f t="shared" si="2"/>
        <v>227.55617500000005</v>
      </c>
      <c r="M17" s="36">
        <f t="shared" si="3"/>
        <v>0</v>
      </c>
      <c r="N17" s="37">
        <f t="shared" si="4"/>
        <v>227.55617500000005</v>
      </c>
      <c r="O17" s="38">
        <f t="shared" si="5"/>
        <v>227.55617500000005</v>
      </c>
      <c r="P17" s="162">
        <v>2.5000000000000001E-2</v>
      </c>
    </row>
    <row r="18" spans="1:16" x14ac:dyDescent="0.3">
      <c r="A18" s="29">
        <f>IF(F18&lt;&gt;"",1+MAX($A$2:A17),"")</f>
        <v>7</v>
      </c>
      <c r="B18" s="39"/>
      <c r="C18" s="100" t="s">
        <v>43</v>
      </c>
      <c r="D18" s="32" t="s">
        <v>4</v>
      </c>
      <c r="E18" s="40">
        <v>1</v>
      </c>
      <c r="F18" s="41">
        <v>0</v>
      </c>
      <c r="G18" s="42">
        <f t="shared" si="0"/>
        <v>1</v>
      </c>
      <c r="H18" s="35">
        <f t="shared" si="6"/>
        <v>3.6408988000000004</v>
      </c>
      <c r="I18" s="169">
        <v>50</v>
      </c>
      <c r="J18" s="36">
        <f t="shared" si="1"/>
        <v>182.04494000000003</v>
      </c>
      <c r="K18" s="43">
        <v>0</v>
      </c>
      <c r="L18" s="36">
        <f t="shared" si="2"/>
        <v>182.04494000000003</v>
      </c>
      <c r="M18" s="36">
        <f t="shared" si="3"/>
        <v>0</v>
      </c>
      <c r="N18" s="37">
        <f t="shared" si="4"/>
        <v>182.04494000000003</v>
      </c>
      <c r="O18" s="38">
        <f t="shared" si="5"/>
        <v>182.04494000000003</v>
      </c>
      <c r="P18" s="162">
        <v>0.02</v>
      </c>
    </row>
    <row r="19" spans="1:16" ht="18" customHeight="1" x14ac:dyDescent="0.3">
      <c r="A19" s="29" t="str">
        <f>IF(F19&lt;&gt;"",1+MAX($A$2:A18),"")</f>
        <v/>
      </c>
      <c r="B19" s="39"/>
      <c r="C19" s="100"/>
      <c r="D19" s="127"/>
      <c r="E19" s="40"/>
      <c r="F19" s="41"/>
      <c r="G19" s="42"/>
      <c r="H19" s="35"/>
      <c r="I19" s="169"/>
      <c r="J19" s="43"/>
      <c r="K19" s="43"/>
      <c r="L19" s="43"/>
      <c r="M19" s="43"/>
      <c r="N19" s="44"/>
      <c r="O19" s="45"/>
      <c r="P19" s="149"/>
    </row>
    <row r="20" spans="1:16" s="1" customFormat="1" x14ac:dyDescent="0.3">
      <c r="A20" s="146" t="str">
        <f>IF(F20&lt;&gt;"",1+MAX($A$2:A19),"")</f>
        <v/>
      </c>
      <c r="B20" s="46"/>
      <c r="C20" s="46"/>
      <c r="D20" s="46"/>
      <c r="E20" s="46"/>
      <c r="F20" s="46"/>
      <c r="G20" s="46"/>
      <c r="H20" s="46"/>
      <c r="I20" s="170"/>
      <c r="J20" s="47"/>
      <c r="K20" s="47"/>
      <c r="L20" s="49">
        <f>SUM(L12:L19)</f>
        <v>1092.2696400000002</v>
      </c>
      <c r="M20" s="49">
        <f>SUM(M12:M19)</f>
        <v>0</v>
      </c>
      <c r="N20" s="48" t="s">
        <v>22</v>
      </c>
      <c r="O20" s="49">
        <f>SUM(O12:O19)</f>
        <v>1092.2696400000002</v>
      </c>
      <c r="P20" s="150"/>
    </row>
    <row r="21" spans="1:16" ht="18" customHeight="1" x14ac:dyDescent="0.3">
      <c r="A21" s="148" t="str">
        <f>IF(F21&lt;&gt;"",1+MAX($A$2:A5),"")</f>
        <v/>
      </c>
      <c r="B21" s="61"/>
      <c r="C21" s="61"/>
      <c r="D21" s="62"/>
      <c r="E21" s="113"/>
      <c r="F21" s="63"/>
      <c r="G21" s="113"/>
      <c r="H21" s="114"/>
      <c r="I21" s="171"/>
      <c r="J21" s="64"/>
      <c r="K21" s="64"/>
      <c r="L21" s="64"/>
      <c r="M21" s="64"/>
      <c r="N21" s="115"/>
      <c r="O21" s="65"/>
      <c r="P21" s="149"/>
    </row>
    <row r="22" spans="1:16" ht="18" customHeight="1" x14ac:dyDescent="0.3">
      <c r="A22" s="147" t="str">
        <f>IF(F22&lt;&gt;"",1+MAX($A$2:A21),"")</f>
        <v/>
      </c>
      <c r="B22" s="51"/>
      <c r="C22" s="52"/>
      <c r="D22" s="53" t="s">
        <v>55</v>
      </c>
      <c r="E22" s="54"/>
      <c r="F22" s="54"/>
      <c r="G22" s="54"/>
      <c r="H22" s="54"/>
      <c r="I22" s="168"/>
      <c r="J22" s="54"/>
      <c r="K22" s="54"/>
      <c r="L22" s="54"/>
      <c r="M22" s="54"/>
      <c r="N22" s="55"/>
      <c r="O22" s="56"/>
      <c r="P22" s="149"/>
    </row>
    <row r="23" spans="1:16" x14ac:dyDescent="0.3">
      <c r="A23" s="66" t="str">
        <f>IF(F23&lt;&gt;"",1+MAX($A$2:A22),"")</f>
        <v/>
      </c>
      <c r="B23" s="198"/>
      <c r="C23" s="57"/>
      <c r="D23" s="58"/>
      <c r="E23" s="40"/>
      <c r="F23" s="41"/>
      <c r="G23" s="42"/>
      <c r="H23" s="35"/>
      <c r="I23" s="169"/>
      <c r="J23" s="43"/>
      <c r="K23" s="43"/>
      <c r="L23" s="36"/>
      <c r="M23" s="36"/>
      <c r="N23" s="44"/>
      <c r="O23" s="45"/>
      <c r="P23" s="149"/>
    </row>
    <row r="24" spans="1:16" x14ac:dyDescent="0.3">
      <c r="A24" s="66">
        <f>IF(F24&lt;&gt;"",1+MAX($A$2:A23),"")</f>
        <v>8</v>
      </c>
      <c r="B24" s="198"/>
      <c r="C24" s="100" t="s">
        <v>57</v>
      </c>
      <c r="D24" s="40" t="s">
        <v>56</v>
      </c>
      <c r="E24" s="40">
        <v>2</v>
      </c>
      <c r="F24" s="41">
        <v>0</v>
      </c>
      <c r="G24" s="42">
        <f t="shared" ref="G24:G25" si="7">(F24*E24)+E24</f>
        <v>2</v>
      </c>
      <c r="H24" s="35">
        <f>0.765*6*1.5</f>
        <v>6.8849999999999998</v>
      </c>
      <c r="I24" s="169">
        <v>60</v>
      </c>
      <c r="J24" s="43">
        <f t="shared" ref="J24:J25" si="8">H24*I24</f>
        <v>413.09999999999997</v>
      </c>
      <c r="K24" s="43">
        <f>91.1*6*1.5</f>
        <v>819.89999999999986</v>
      </c>
      <c r="L24" s="36">
        <f t="shared" ref="L24:L25" si="9">J24*G24</f>
        <v>826.19999999999993</v>
      </c>
      <c r="M24" s="36">
        <f t="shared" ref="M24:M25" si="10">K24*G24</f>
        <v>1639.7999999999997</v>
      </c>
      <c r="N24" s="44">
        <f t="shared" ref="N24:N25" si="11">+K24+J24</f>
        <v>1232.9999999999998</v>
      </c>
      <c r="O24" s="45">
        <f t="shared" ref="O24:O25" si="12">G24*N24</f>
        <v>2465.9999999999995</v>
      </c>
      <c r="P24" s="149"/>
    </row>
    <row r="25" spans="1:16" x14ac:dyDescent="0.3">
      <c r="A25" s="66">
        <f>IF(F25&lt;&gt;"",1+MAX($A$2:A24),"")</f>
        <v>9</v>
      </c>
      <c r="B25" s="198"/>
      <c r="C25" s="100" t="s">
        <v>58</v>
      </c>
      <c r="D25" s="40" t="s">
        <v>56</v>
      </c>
      <c r="E25" s="40">
        <v>2</v>
      </c>
      <c r="F25" s="41">
        <v>0</v>
      </c>
      <c r="G25" s="42">
        <f t="shared" si="7"/>
        <v>2</v>
      </c>
      <c r="H25" s="35">
        <f>0.765*6*1.5</f>
        <v>6.8849999999999998</v>
      </c>
      <c r="I25" s="169">
        <v>60</v>
      </c>
      <c r="J25" s="43">
        <f t="shared" si="8"/>
        <v>413.09999999999997</v>
      </c>
      <c r="K25" s="43">
        <f>91.1*6*1.5</f>
        <v>819.89999999999986</v>
      </c>
      <c r="L25" s="36">
        <f t="shared" si="9"/>
        <v>826.19999999999993</v>
      </c>
      <c r="M25" s="36">
        <f t="shared" si="10"/>
        <v>1639.7999999999997</v>
      </c>
      <c r="N25" s="44">
        <f t="shared" si="11"/>
        <v>1232.9999999999998</v>
      </c>
      <c r="O25" s="45">
        <f t="shared" si="12"/>
        <v>2465.9999999999995</v>
      </c>
      <c r="P25" s="149"/>
    </row>
    <row r="26" spans="1:16" x14ac:dyDescent="0.3">
      <c r="A26" s="66">
        <f>IF(F26&lt;&gt;"",1+MAX($A$2:A25),"")</f>
        <v>10</v>
      </c>
      <c r="B26" s="181"/>
      <c r="C26" s="183" t="s">
        <v>69</v>
      </c>
      <c r="D26" s="40" t="s">
        <v>70</v>
      </c>
      <c r="E26" s="40">
        <v>3</v>
      </c>
      <c r="F26" s="41">
        <v>0</v>
      </c>
      <c r="G26" s="42">
        <v>3</v>
      </c>
      <c r="H26" s="35"/>
      <c r="I26" s="169"/>
      <c r="J26" s="43"/>
      <c r="K26" s="43"/>
      <c r="L26" s="36"/>
      <c r="M26" s="36"/>
      <c r="N26" s="44"/>
      <c r="O26" s="45">
        <f>1500*3</f>
        <v>4500</v>
      </c>
      <c r="P26" s="149"/>
    </row>
    <row r="27" spans="1:16" x14ac:dyDescent="0.3">
      <c r="A27" s="66" t="str">
        <f>IF(F27&lt;&gt;"",1+MAX($A$2:A25),"")</f>
        <v/>
      </c>
      <c r="B27" s="59"/>
      <c r="C27" s="31"/>
      <c r="D27" s="40"/>
      <c r="E27" s="42"/>
      <c r="F27" s="41"/>
      <c r="G27" s="42"/>
      <c r="H27" s="35"/>
      <c r="I27" s="169"/>
      <c r="J27" s="43"/>
      <c r="K27" s="43"/>
      <c r="L27" s="43"/>
      <c r="M27" s="43"/>
      <c r="N27" s="44"/>
      <c r="O27" s="45"/>
      <c r="P27" s="149"/>
    </row>
    <row r="28" spans="1:16" s="1" customFormat="1" x14ac:dyDescent="0.3">
      <c r="A28" s="146" t="str">
        <f>IF(F28&lt;&gt;"",1+MAX($A$2:A27),"")</f>
        <v/>
      </c>
      <c r="B28" s="46"/>
      <c r="C28" s="46"/>
      <c r="D28" s="46"/>
      <c r="E28" s="46"/>
      <c r="F28" s="46"/>
      <c r="G28" s="46"/>
      <c r="H28" s="46"/>
      <c r="I28" s="170"/>
      <c r="J28" s="47"/>
      <c r="K28" s="47"/>
      <c r="L28" s="49">
        <f>SUM(L23:L27)</f>
        <v>1652.3999999999999</v>
      </c>
      <c r="M28" s="49">
        <f>SUM(M23:M27)</f>
        <v>3279.5999999999995</v>
      </c>
      <c r="N28" s="48" t="s">
        <v>22</v>
      </c>
      <c r="O28" s="49">
        <f>SUM(O23:O27)</f>
        <v>9432</v>
      </c>
      <c r="P28" s="149"/>
    </row>
    <row r="29" spans="1:16" ht="18" customHeight="1" x14ac:dyDescent="0.3">
      <c r="A29" s="148" t="str">
        <f>IF(F29&lt;&gt;"",1+MAX($A$2:A20),"")</f>
        <v/>
      </c>
      <c r="B29" s="61"/>
      <c r="C29" s="61"/>
      <c r="D29" s="62"/>
      <c r="E29" s="113"/>
      <c r="F29" s="63"/>
      <c r="G29" s="113"/>
      <c r="H29" s="114"/>
      <c r="I29" s="171"/>
      <c r="J29" s="64"/>
      <c r="K29" s="64"/>
      <c r="L29" s="64"/>
      <c r="M29" s="64"/>
      <c r="N29" s="115"/>
      <c r="O29" s="65"/>
      <c r="P29" s="149"/>
    </row>
    <row r="30" spans="1:16" ht="18" customHeight="1" x14ac:dyDescent="0.3">
      <c r="A30" s="147" t="str">
        <f>IF(F30&lt;&gt;"",1+MAX($A$2:A29),"")</f>
        <v/>
      </c>
      <c r="B30" s="51"/>
      <c r="C30" s="52"/>
      <c r="D30" s="53" t="s">
        <v>35</v>
      </c>
      <c r="E30" s="54"/>
      <c r="F30" s="54"/>
      <c r="G30" s="54"/>
      <c r="H30" s="54"/>
      <c r="I30" s="168"/>
      <c r="J30" s="54"/>
      <c r="K30" s="54"/>
      <c r="L30" s="54"/>
      <c r="M30" s="54"/>
      <c r="N30" s="55"/>
      <c r="O30" s="56"/>
      <c r="P30" s="149"/>
    </row>
    <row r="31" spans="1:16" x14ac:dyDescent="0.3">
      <c r="A31" s="66" t="str">
        <f>IF(F31&lt;&gt;"",1+MAX($A$2:A30),"")</f>
        <v/>
      </c>
      <c r="B31" s="198"/>
      <c r="C31" s="57" t="s">
        <v>63</v>
      </c>
      <c r="D31" s="58"/>
      <c r="E31" s="40"/>
      <c r="F31" s="41"/>
      <c r="G31" s="42"/>
      <c r="H31" s="35"/>
      <c r="I31" s="169"/>
      <c r="J31" s="43"/>
      <c r="K31" s="43"/>
      <c r="L31" s="36"/>
      <c r="M31" s="36"/>
      <c r="N31" s="44"/>
      <c r="O31" s="45"/>
      <c r="P31" s="149"/>
    </row>
    <row r="32" spans="1:16" x14ac:dyDescent="0.3">
      <c r="A32" s="66">
        <f>IF(F32&lt;&gt;"",1+MAX($A$2:A31),"")</f>
        <v>11</v>
      </c>
      <c r="B32" s="198"/>
      <c r="C32" s="100" t="s">
        <v>64</v>
      </c>
      <c r="D32" s="40" t="s">
        <v>7</v>
      </c>
      <c r="E32" s="40">
        <v>70</v>
      </c>
      <c r="F32" s="41">
        <v>0.1</v>
      </c>
      <c r="G32" s="42">
        <f t="shared" ref="G32:G33" si="13">(F32*E32)+E32</f>
        <v>77</v>
      </c>
      <c r="H32" s="35">
        <v>4.2000000000000003E-2</v>
      </c>
      <c r="I32" s="169">
        <v>60</v>
      </c>
      <c r="J32" s="43">
        <f>H32*I32</f>
        <v>2.52</v>
      </c>
      <c r="K32" s="43">
        <v>3.03</v>
      </c>
      <c r="L32" s="36">
        <f>J32*G32</f>
        <v>194.04</v>
      </c>
      <c r="M32" s="36">
        <f>K32*G32</f>
        <v>233.30999999999997</v>
      </c>
      <c r="N32" s="44">
        <f t="shared" ref="N32:N33" si="14">+K32+J32</f>
        <v>5.55</v>
      </c>
      <c r="O32" s="45">
        <f>G32*N32</f>
        <v>427.34999999999997</v>
      </c>
      <c r="P32" s="149"/>
    </row>
    <row r="33" spans="1:65" x14ac:dyDescent="0.3">
      <c r="A33" s="66">
        <f>IF(F33&lt;&gt;"",1+MAX($A$2:A32),"")</f>
        <v>12</v>
      </c>
      <c r="B33" s="198"/>
      <c r="C33" s="100" t="s">
        <v>65</v>
      </c>
      <c r="D33" s="40" t="s">
        <v>7</v>
      </c>
      <c r="E33" s="40">
        <v>997</v>
      </c>
      <c r="F33" s="41">
        <v>0.1</v>
      </c>
      <c r="G33" s="42">
        <f t="shared" si="13"/>
        <v>1096.7</v>
      </c>
      <c r="H33" s="35">
        <v>6.0999999999999999E-2</v>
      </c>
      <c r="I33" s="169">
        <v>60</v>
      </c>
      <c r="J33" s="43">
        <f>H33*I33</f>
        <v>3.66</v>
      </c>
      <c r="K33" s="43">
        <v>4.25</v>
      </c>
      <c r="L33" s="36">
        <f>J33*G33</f>
        <v>4013.9220000000005</v>
      </c>
      <c r="M33" s="36">
        <f>K33*G33</f>
        <v>4660.9750000000004</v>
      </c>
      <c r="N33" s="44">
        <f t="shared" si="14"/>
        <v>7.91</v>
      </c>
      <c r="O33" s="45">
        <f>G33*N33</f>
        <v>8674.8970000000008</v>
      </c>
      <c r="P33" s="149"/>
    </row>
    <row r="34" spans="1:65" x14ac:dyDescent="0.3">
      <c r="A34" s="66" t="str">
        <f>IF(F34&lt;&gt;"",1+MAX($A$2:A33),"")</f>
        <v/>
      </c>
      <c r="B34" s="59"/>
      <c r="C34" s="31"/>
      <c r="D34" s="40"/>
      <c r="E34" s="42"/>
      <c r="F34" s="41"/>
      <c r="G34" s="42"/>
      <c r="H34" s="35"/>
      <c r="I34" s="169"/>
      <c r="J34" s="43"/>
      <c r="K34" s="43"/>
      <c r="L34" s="43"/>
      <c r="M34" s="43"/>
      <c r="N34" s="44"/>
      <c r="O34" s="45"/>
      <c r="P34" s="149"/>
    </row>
    <row r="35" spans="1:65" s="1" customFormat="1" x14ac:dyDescent="0.3">
      <c r="A35" s="146" t="str">
        <f>IF(F35&lt;&gt;"",1+MAX($A$2:A34),"")</f>
        <v/>
      </c>
      <c r="B35" s="46"/>
      <c r="C35" s="46"/>
      <c r="D35" s="46"/>
      <c r="E35" s="46"/>
      <c r="F35" s="46"/>
      <c r="G35" s="46"/>
      <c r="H35" s="46"/>
      <c r="I35" s="170"/>
      <c r="J35" s="47"/>
      <c r="K35" s="47"/>
      <c r="L35" s="49">
        <f>SUM(L31:L34)</f>
        <v>4207.9620000000004</v>
      </c>
      <c r="M35" s="49">
        <f>SUM(M31:M34)</f>
        <v>4894.2850000000008</v>
      </c>
      <c r="N35" s="48" t="s">
        <v>22</v>
      </c>
      <c r="O35" s="49">
        <f>SUM(O31:O34)</f>
        <v>9102.2470000000012</v>
      </c>
      <c r="P35" s="149"/>
    </row>
    <row r="36" spans="1:65" x14ac:dyDescent="0.3">
      <c r="A36" s="60" t="str">
        <f>IF(E36&lt;&gt;"",1+MAX(A$1:$A35),"")</f>
        <v/>
      </c>
      <c r="B36" s="61"/>
      <c r="C36" s="61"/>
      <c r="D36" s="62"/>
      <c r="E36" s="113"/>
      <c r="F36" s="63"/>
      <c r="G36" s="113"/>
      <c r="H36" s="113"/>
      <c r="I36" s="171"/>
      <c r="J36" s="64"/>
      <c r="K36" s="64"/>
      <c r="L36" s="64"/>
      <c r="M36" s="64"/>
      <c r="N36" s="115"/>
      <c r="O36" s="65"/>
      <c r="P36" s="149"/>
    </row>
    <row r="37" spans="1:65" ht="20.149999999999999" customHeight="1" x14ac:dyDescent="0.3">
      <c r="A37" s="195" t="s">
        <v>10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  <c r="L37" s="68"/>
      <c r="M37" s="68"/>
      <c r="N37" s="69"/>
      <c r="O37" s="70">
        <f>SUM(O20+O28+O35,0)</f>
        <v>19626.516640000002</v>
      </c>
    </row>
    <row r="38" spans="1:65" ht="20.149999999999999" customHeight="1" x14ac:dyDescent="0.3">
      <c r="A38" s="71" t="s">
        <v>17</v>
      </c>
      <c r="B38" s="72"/>
      <c r="C38" s="67"/>
      <c r="D38" s="67"/>
      <c r="E38" s="67"/>
      <c r="F38" s="67"/>
      <c r="G38" s="67"/>
      <c r="H38" s="67"/>
      <c r="I38" s="172"/>
      <c r="J38" s="67"/>
      <c r="K38" s="68"/>
      <c r="L38" s="179"/>
      <c r="M38" s="179"/>
      <c r="N38" s="73">
        <v>0.3</v>
      </c>
      <c r="O38" s="74">
        <f>O37*N38</f>
        <v>5887.9549919999999</v>
      </c>
    </row>
    <row r="39" spans="1:65" s="150" customFormat="1" ht="20.149999999999999" customHeight="1" x14ac:dyDescent="0.3">
      <c r="A39" s="75" t="s">
        <v>3</v>
      </c>
      <c r="B39" s="76"/>
      <c r="C39" s="67"/>
      <c r="D39" s="67"/>
      <c r="E39" s="67"/>
      <c r="F39" s="67"/>
      <c r="G39" s="67"/>
      <c r="H39" s="67"/>
      <c r="I39" s="172"/>
      <c r="J39" s="67"/>
      <c r="K39" s="68"/>
      <c r="L39" s="179"/>
      <c r="M39" s="179"/>
      <c r="N39" s="77">
        <v>0</v>
      </c>
      <c r="O39" s="78">
        <f>O37*N39</f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</row>
    <row r="40" spans="1:65" s="150" customFormat="1" ht="20.149999999999999" customHeight="1" x14ac:dyDescent="0.3">
      <c r="A40" s="75" t="s">
        <v>15</v>
      </c>
      <c r="B40" s="76"/>
      <c r="C40" s="67"/>
      <c r="D40" s="67"/>
      <c r="E40" s="67"/>
      <c r="F40" s="67"/>
      <c r="G40" s="67"/>
      <c r="H40" s="67"/>
      <c r="I40" s="172"/>
      <c r="J40" s="67"/>
      <c r="K40" s="68"/>
      <c r="L40" s="179"/>
      <c r="M40" s="179"/>
      <c r="N40" s="77">
        <v>0.05</v>
      </c>
      <c r="O40" s="74">
        <f>O37*N40</f>
        <v>981.3258320000001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</row>
    <row r="41" spans="1:65" s="150" customFormat="1" ht="20.149999999999999" customHeight="1" thickBot="1" x14ac:dyDescent="0.35">
      <c r="A41" s="79" t="s">
        <v>23</v>
      </c>
      <c r="B41" s="80"/>
      <c r="C41" s="81"/>
      <c r="D41" s="81"/>
      <c r="E41" s="81"/>
      <c r="F41" s="81"/>
      <c r="G41" s="81"/>
      <c r="H41" s="81"/>
      <c r="I41" s="173"/>
      <c r="J41" s="81"/>
      <c r="K41" s="82"/>
      <c r="L41" s="180"/>
      <c r="M41" s="180"/>
      <c r="N41" s="83">
        <v>7.2969999999999993E-2</v>
      </c>
      <c r="O41" s="84">
        <f>O37*N41</f>
        <v>1432.1469192207999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</row>
    <row r="42" spans="1:65" s="150" customFormat="1" ht="20.149999999999999" customHeight="1" thickBot="1" x14ac:dyDescent="0.35">
      <c r="A42" s="191" t="s">
        <v>11</v>
      </c>
      <c r="B42" s="192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4"/>
      <c r="O42" s="85">
        <f>O37+O38+O39+O40+O41</f>
        <v>27927.944383220798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spans="1:65" s="150" customFormat="1" ht="20.149999999999999" customHeight="1" thickBot="1" x14ac:dyDescent="0.35">
      <c r="A43" s="86" t="s">
        <v>45</v>
      </c>
      <c r="B43" s="87"/>
      <c r="C43" s="116"/>
      <c r="D43" s="116"/>
      <c r="E43" s="116"/>
      <c r="F43" s="116"/>
      <c r="G43" s="116"/>
      <c r="H43" s="116"/>
      <c r="I43" s="174"/>
      <c r="J43" s="116"/>
      <c r="K43" s="116"/>
      <c r="L43" s="116"/>
      <c r="M43" s="116"/>
      <c r="N43" s="117"/>
      <c r="O43" s="88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</row>
    <row r="44" spans="1:65" s="150" customFormat="1" ht="20.149999999999999" customHeight="1" x14ac:dyDescent="0.3">
      <c r="A44" s="89"/>
      <c r="B44" s="118"/>
      <c r="C44" s="116"/>
      <c r="D44" s="116"/>
      <c r="E44" s="116"/>
      <c r="F44" s="116"/>
      <c r="G44" s="116"/>
      <c r="H44" s="116"/>
      <c r="I44" s="174"/>
      <c r="J44" s="116"/>
      <c r="K44" s="116"/>
      <c r="L44" s="116"/>
      <c r="M44" s="116"/>
      <c r="N44" s="117"/>
      <c r="O44" s="88" t="s">
        <v>30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</row>
    <row r="45" spans="1:65" s="150" customFormat="1" ht="20.149999999999999" customHeight="1" x14ac:dyDescent="0.3">
      <c r="A45" s="89"/>
      <c r="B45" s="118"/>
      <c r="C45" s="116"/>
      <c r="D45" s="116"/>
      <c r="E45" s="116"/>
      <c r="F45" s="116"/>
      <c r="G45" s="116"/>
      <c r="H45" s="116"/>
      <c r="I45" s="174"/>
      <c r="J45" s="116"/>
      <c r="K45" s="116"/>
      <c r="L45" s="116"/>
      <c r="M45" s="116"/>
      <c r="N45" s="117"/>
      <c r="O45" s="88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</sheetData>
  <mergeCells count="5">
    <mergeCell ref="A2:O2"/>
    <mergeCell ref="B23:B25"/>
    <mergeCell ref="B31:B33"/>
    <mergeCell ref="A37:K37"/>
    <mergeCell ref="A42:N42"/>
  </mergeCells>
  <printOptions horizontalCentered="1"/>
  <pageMargins left="0.7" right="0.7" top="0.75" bottom="0.75" header="0.3" footer="0.3"/>
  <pageSetup paperSize="9" scale="50" fitToHeight="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BD7F3AEC-C48C-496C-8823-4E21EAFCD36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General Summary</vt:lpstr>
      <vt:lpstr>Takeoff Breakdown</vt:lpstr>
      <vt:lpstr>Alt #1</vt:lpstr>
      <vt:lpstr>'Alt #1'!Print_Area</vt:lpstr>
      <vt:lpstr>'General Summary'!Print_Area</vt:lpstr>
      <vt:lpstr>'Takeoff Breakdown'!Print_Area</vt:lpstr>
      <vt:lpstr>'Alt #1'!Print_Titles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NEDES</dc:creator>
  <cp:lastModifiedBy>Hamid Shahzad</cp:lastModifiedBy>
  <cp:lastPrinted>2023-01-11T20:23:43Z</cp:lastPrinted>
  <dcterms:created xsi:type="dcterms:W3CDTF">2016-03-30T11:57:46Z</dcterms:created>
  <dcterms:modified xsi:type="dcterms:W3CDTF">2026-03-13T19:30:49Z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{BD7F3AEC-C48C-496C-8823-4E21EAFCD366}</vt:lpwstr>
  </property>
</Properties>
</file>