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ell\Desktop\sample estimate\"/>
    </mc:Choice>
  </mc:AlternateContent>
  <xr:revisionPtr revIDLastSave="0" documentId="13_ncr:1_{DD4352E8-5661-4287-9BB2-B39963BC296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eneral Summary" sheetId="4" r:id="rId1"/>
    <sheet name="Takeoff Breakdown" sheetId="1" r:id="rId2"/>
  </sheets>
  <definedNames>
    <definedName name="_xlnm._FilterDatabase" localSheetId="1" hidden="1">'Takeoff Breakdown'!$L$1:$L$113</definedName>
    <definedName name="_xlnm.Print_Area" localSheetId="0">'General Summary'!$A$1:$O$23</definedName>
    <definedName name="_xlnm.Print_Area" localSheetId="1">'Takeoff Breakdown'!$A$2:$O$113</definedName>
    <definedName name="_xlnm.Print_Titles" localSheetId="1">'Takeoff Breakdown'!$1:$9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" l="1"/>
  <c r="J65" i="1"/>
  <c r="J45" i="1"/>
  <c r="B9" i="4" l="1"/>
  <c r="A89" i="1"/>
  <c r="A96" i="1"/>
  <c r="A100" i="1"/>
  <c r="A62" i="1"/>
  <c r="A64" i="1"/>
  <c r="A66" i="1"/>
  <c r="A68" i="1"/>
  <c r="A70" i="1"/>
  <c r="A72" i="1"/>
  <c r="A75" i="1"/>
  <c r="A39" i="1"/>
  <c r="A41" i="1"/>
  <c r="A44" i="1"/>
  <c r="A46" i="1"/>
  <c r="G84" i="1"/>
  <c r="M84" i="1" s="1"/>
  <c r="J84" i="1"/>
  <c r="G85" i="1"/>
  <c r="M85" i="1" s="1"/>
  <c r="J85" i="1"/>
  <c r="G86" i="1"/>
  <c r="M86" i="1" s="1"/>
  <c r="J86" i="1"/>
  <c r="G87" i="1"/>
  <c r="M87" i="1" s="1"/>
  <c r="J87" i="1"/>
  <c r="G88" i="1"/>
  <c r="M88" i="1" s="1"/>
  <c r="J88" i="1"/>
  <c r="G90" i="1"/>
  <c r="M90" i="1" s="1"/>
  <c r="J90" i="1"/>
  <c r="G91" i="1"/>
  <c r="M91" i="1" s="1"/>
  <c r="J91" i="1"/>
  <c r="G92" i="1"/>
  <c r="M92" i="1" s="1"/>
  <c r="J92" i="1"/>
  <c r="G93" i="1"/>
  <c r="M93" i="1" s="1"/>
  <c r="J93" i="1"/>
  <c r="G94" i="1"/>
  <c r="M94" i="1" s="1"/>
  <c r="J94" i="1"/>
  <c r="G95" i="1"/>
  <c r="M95" i="1" s="1"/>
  <c r="J95" i="1"/>
  <c r="G97" i="1"/>
  <c r="M97" i="1" s="1"/>
  <c r="J97" i="1"/>
  <c r="G98" i="1"/>
  <c r="M98" i="1" s="1"/>
  <c r="J98" i="1"/>
  <c r="G99" i="1"/>
  <c r="M99" i="1" s="1"/>
  <c r="J99" i="1"/>
  <c r="G101" i="1"/>
  <c r="M101" i="1" s="1"/>
  <c r="J101" i="1"/>
  <c r="G63" i="1"/>
  <c r="M63" i="1" s="1"/>
  <c r="J63" i="1"/>
  <c r="G65" i="1"/>
  <c r="M65" i="1" s="1"/>
  <c r="N65" i="1"/>
  <c r="G67" i="1"/>
  <c r="M67" i="1" s="1"/>
  <c r="J67" i="1"/>
  <c r="G69" i="1"/>
  <c r="M69" i="1" s="1"/>
  <c r="J69" i="1"/>
  <c r="G71" i="1"/>
  <c r="M71" i="1" s="1"/>
  <c r="J71" i="1"/>
  <c r="G73" i="1"/>
  <c r="M73" i="1" s="1"/>
  <c r="J73" i="1"/>
  <c r="G74" i="1"/>
  <c r="M74" i="1" s="1"/>
  <c r="J74" i="1"/>
  <c r="G76" i="1"/>
  <c r="M76" i="1" s="1"/>
  <c r="J76" i="1"/>
  <c r="G40" i="1"/>
  <c r="M40" i="1" s="1"/>
  <c r="J40" i="1"/>
  <c r="G42" i="1"/>
  <c r="M42" i="1" s="1"/>
  <c r="J42" i="1"/>
  <c r="G43" i="1"/>
  <c r="M43" i="1" s="1"/>
  <c r="J43" i="1"/>
  <c r="G45" i="1"/>
  <c r="M45" i="1" s="1"/>
  <c r="N45" i="1"/>
  <c r="G47" i="1"/>
  <c r="M47" i="1" s="1"/>
  <c r="J47" i="1"/>
  <c r="G48" i="1"/>
  <c r="M48" i="1" s="1"/>
  <c r="J48" i="1"/>
  <c r="G49" i="1"/>
  <c r="M49" i="1" s="1"/>
  <c r="J49" i="1"/>
  <c r="G50" i="1"/>
  <c r="M50" i="1" s="1"/>
  <c r="J50" i="1"/>
  <c r="G51" i="1"/>
  <c r="M51" i="1" s="1"/>
  <c r="J51" i="1"/>
  <c r="G52" i="1"/>
  <c r="M52" i="1" s="1"/>
  <c r="J52" i="1"/>
  <c r="G53" i="1"/>
  <c r="M53" i="1" s="1"/>
  <c r="J53" i="1"/>
  <c r="G54" i="1"/>
  <c r="M54" i="1" s="1"/>
  <c r="J54" i="1"/>
  <c r="J38" i="1"/>
  <c r="G38" i="1"/>
  <c r="M38" i="1" s="1"/>
  <c r="G25" i="1"/>
  <c r="M25" i="1" s="1"/>
  <c r="J25" i="1"/>
  <c r="G26" i="1"/>
  <c r="M26" i="1" s="1"/>
  <c r="J26" i="1"/>
  <c r="G28" i="1"/>
  <c r="M28" i="1" s="1"/>
  <c r="J28" i="1"/>
  <c r="G29" i="1"/>
  <c r="M29" i="1" s="1"/>
  <c r="J29" i="1"/>
  <c r="G30" i="1"/>
  <c r="M30" i="1" s="1"/>
  <c r="J30" i="1"/>
  <c r="G31" i="1"/>
  <c r="M31" i="1" s="1"/>
  <c r="J31" i="1"/>
  <c r="N24" i="1"/>
  <c r="G24" i="1"/>
  <c r="M24" i="1" s="1"/>
  <c r="A22" i="1"/>
  <c r="N38" i="1" l="1"/>
  <c r="O38" i="1" s="1"/>
  <c r="L38" i="1"/>
  <c r="M33" i="1"/>
  <c r="D13" i="4" s="1"/>
  <c r="N30" i="1"/>
  <c r="O30" i="1" s="1"/>
  <c r="L30" i="1"/>
  <c r="N28" i="1"/>
  <c r="O28" i="1" s="1"/>
  <c r="L28" i="1"/>
  <c r="N25" i="1"/>
  <c r="O25" i="1" s="1"/>
  <c r="L25" i="1"/>
  <c r="N54" i="1"/>
  <c r="O54" i="1" s="1"/>
  <c r="L54" i="1"/>
  <c r="N52" i="1"/>
  <c r="O52" i="1" s="1"/>
  <c r="L52" i="1"/>
  <c r="N50" i="1"/>
  <c r="O50" i="1" s="1"/>
  <c r="L50" i="1"/>
  <c r="N48" i="1"/>
  <c r="L48" i="1"/>
  <c r="N42" i="1"/>
  <c r="O42" i="1" s="1"/>
  <c r="L42" i="1"/>
  <c r="N76" i="1"/>
  <c r="O76" i="1" s="1"/>
  <c r="L76" i="1"/>
  <c r="N73" i="1"/>
  <c r="O73" i="1" s="1"/>
  <c r="L73" i="1"/>
  <c r="N69" i="1"/>
  <c r="O69" i="1" s="1"/>
  <c r="L69" i="1"/>
  <c r="N101" i="1"/>
  <c r="O101" i="1" s="1"/>
  <c r="L101" i="1"/>
  <c r="N98" i="1"/>
  <c r="O98" i="1" s="1"/>
  <c r="L98" i="1"/>
  <c r="N95" i="1"/>
  <c r="L95" i="1"/>
  <c r="N93" i="1"/>
  <c r="O93" i="1" s="1"/>
  <c r="L93" i="1"/>
  <c r="N91" i="1"/>
  <c r="O91" i="1" s="1"/>
  <c r="L91" i="1"/>
  <c r="N88" i="1"/>
  <c r="L88" i="1"/>
  <c r="N86" i="1"/>
  <c r="L86" i="1"/>
  <c r="N84" i="1"/>
  <c r="O84" i="1" s="1"/>
  <c r="L84" i="1"/>
  <c r="L24" i="1"/>
  <c r="N31" i="1"/>
  <c r="L31" i="1"/>
  <c r="N29" i="1"/>
  <c r="L29" i="1"/>
  <c r="N26" i="1"/>
  <c r="L26" i="1"/>
  <c r="M56" i="1"/>
  <c r="D14" i="4" s="1"/>
  <c r="N53" i="1"/>
  <c r="O53" i="1" s="1"/>
  <c r="L53" i="1"/>
  <c r="N51" i="1"/>
  <c r="O51" i="1" s="1"/>
  <c r="L51" i="1"/>
  <c r="N49" i="1"/>
  <c r="O49" i="1" s="1"/>
  <c r="L49" i="1"/>
  <c r="N47" i="1"/>
  <c r="L47" i="1"/>
  <c r="N43" i="1"/>
  <c r="L43" i="1"/>
  <c r="N40" i="1"/>
  <c r="L40" i="1"/>
  <c r="N74" i="1"/>
  <c r="O74" i="1" s="1"/>
  <c r="L74" i="1"/>
  <c r="N71" i="1"/>
  <c r="O71" i="1" s="1"/>
  <c r="L71" i="1"/>
  <c r="N67" i="1"/>
  <c r="L67" i="1"/>
  <c r="N63" i="1"/>
  <c r="L63" i="1"/>
  <c r="N99" i="1"/>
  <c r="O99" i="1" s="1"/>
  <c r="L99" i="1"/>
  <c r="N97" i="1"/>
  <c r="O97" i="1" s="1"/>
  <c r="L97" i="1"/>
  <c r="N94" i="1"/>
  <c r="O94" i="1" s="1"/>
  <c r="L94" i="1"/>
  <c r="N92" i="1"/>
  <c r="O92" i="1" s="1"/>
  <c r="L92" i="1"/>
  <c r="N90" i="1"/>
  <c r="O90" i="1" s="1"/>
  <c r="L90" i="1"/>
  <c r="N87" i="1"/>
  <c r="O87" i="1" s="1"/>
  <c r="L87" i="1"/>
  <c r="N85" i="1"/>
  <c r="L85" i="1"/>
  <c r="L65" i="1"/>
  <c r="L45" i="1"/>
  <c r="O95" i="1"/>
  <c r="O88" i="1"/>
  <c r="O86" i="1"/>
  <c r="O47" i="1"/>
  <c r="O43" i="1"/>
  <c r="O85" i="1"/>
  <c r="O48" i="1"/>
  <c r="O45" i="1"/>
  <c r="O40" i="1"/>
  <c r="O65" i="1"/>
  <c r="O67" i="1"/>
  <c r="O63" i="1"/>
  <c r="O31" i="1"/>
  <c r="O29" i="1"/>
  <c r="O26" i="1"/>
  <c r="O24" i="1"/>
  <c r="L33" i="1" l="1"/>
  <c r="C13" i="4" s="1"/>
  <c r="L56" i="1"/>
  <c r="C14" i="4" s="1"/>
  <c r="O33" i="1"/>
  <c r="O56" i="1"/>
  <c r="E14" i="4" s="1"/>
  <c r="A19" i="1"/>
  <c r="A20" i="1"/>
  <c r="A21" i="1"/>
  <c r="A23" i="1"/>
  <c r="A33" i="1"/>
  <c r="A34" i="1"/>
  <c r="A35" i="1"/>
  <c r="A36" i="1"/>
  <c r="A37" i="1"/>
  <c r="A56" i="1"/>
  <c r="A57" i="1"/>
  <c r="A58" i="1"/>
  <c r="A59" i="1"/>
  <c r="A60" i="1"/>
  <c r="A78" i="1"/>
  <c r="A79" i="1"/>
  <c r="A80" i="1"/>
  <c r="A82" i="1"/>
  <c r="A103" i="1"/>
  <c r="B7" i="4"/>
  <c r="O8" i="1" l="1"/>
  <c r="G18" i="1" l="1"/>
  <c r="M18" i="1" s="1"/>
  <c r="G17" i="1"/>
  <c r="M17" i="1" s="1"/>
  <c r="G16" i="1"/>
  <c r="M16" i="1" s="1"/>
  <c r="G15" i="1"/>
  <c r="M15" i="1" s="1"/>
  <c r="G14" i="1"/>
  <c r="M14" i="1" s="1"/>
  <c r="G13" i="1"/>
  <c r="M13" i="1" s="1"/>
  <c r="G12" i="1"/>
  <c r="M12" i="1" s="1"/>
  <c r="A12" i="1"/>
  <c r="M20" i="1" l="1"/>
  <c r="D12" i="4" s="1"/>
  <c r="A13" i="1"/>
  <c r="E13" i="4"/>
  <c r="A14" i="1" l="1"/>
  <c r="A15" i="1" l="1"/>
  <c r="A16" i="1" l="1"/>
  <c r="A17" i="1" l="1"/>
  <c r="B5" i="4"/>
  <c r="A18" i="1" l="1"/>
  <c r="A24" i="1" s="1"/>
  <c r="A25" i="1" l="1"/>
  <c r="B3" i="4"/>
  <c r="B2" i="4"/>
  <c r="A26" i="1" l="1"/>
  <c r="A27" i="1"/>
  <c r="A28" i="1" l="1"/>
  <c r="A29" i="1" l="1"/>
  <c r="A32" i="1"/>
  <c r="A30" i="1" l="1"/>
  <c r="A31" i="1" s="1"/>
  <c r="J61" i="1"/>
  <c r="G61" i="1"/>
  <c r="M61" i="1" s="1"/>
  <c r="M78" i="1" s="1"/>
  <c r="D15" i="4" s="1"/>
  <c r="N61" i="1" l="1"/>
  <c r="O61" i="1" s="1"/>
  <c r="O78" i="1" s="1"/>
  <c r="L61" i="1"/>
  <c r="L78" i="1" s="1"/>
  <c r="C15" i="4" s="1"/>
  <c r="A104" i="1" l="1"/>
  <c r="E15" i="4" l="1"/>
  <c r="F15" i="4" s="1"/>
  <c r="F14" i="4"/>
  <c r="J83" i="1" l="1"/>
  <c r="G83" i="1"/>
  <c r="M83" i="1" s="1"/>
  <c r="M103" i="1" s="1"/>
  <c r="D16" i="4" s="1"/>
  <c r="D17" i="4" s="1"/>
  <c r="N83" i="1" l="1"/>
  <c r="O83" i="1" s="1"/>
  <c r="O103" i="1" s="1"/>
  <c r="P11" i="1" s="1"/>
  <c r="L83" i="1"/>
  <c r="L103" i="1" s="1"/>
  <c r="C16" i="4" s="1"/>
  <c r="H13" i="1" l="1"/>
  <c r="J13" i="1" s="1"/>
  <c r="H17" i="1"/>
  <c r="J17" i="1" s="1"/>
  <c r="H12" i="1"/>
  <c r="J12" i="1" s="1"/>
  <c r="L12" i="1" s="1"/>
  <c r="H14" i="1"/>
  <c r="J14" i="1" s="1"/>
  <c r="H18" i="1"/>
  <c r="J18" i="1" s="1"/>
  <c r="H15" i="1"/>
  <c r="J15" i="1" s="1"/>
  <c r="H16" i="1"/>
  <c r="J16" i="1" s="1"/>
  <c r="N14" i="1" l="1"/>
  <c r="O14" i="1" s="1"/>
  <c r="L14" i="1"/>
  <c r="N17" i="1"/>
  <c r="O17" i="1" s="1"/>
  <c r="L17" i="1"/>
  <c r="N16" i="1"/>
  <c r="O16" i="1" s="1"/>
  <c r="L16" i="1"/>
  <c r="N15" i="1"/>
  <c r="O15" i="1" s="1"/>
  <c r="L15" i="1"/>
  <c r="N18" i="1"/>
  <c r="O18" i="1" s="1"/>
  <c r="L18" i="1"/>
  <c r="N13" i="1"/>
  <c r="O13" i="1" s="1"/>
  <c r="L13" i="1"/>
  <c r="N12" i="1"/>
  <c r="O12" i="1" s="1"/>
  <c r="L20" i="1" l="1"/>
  <c r="C12" i="4" s="1"/>
  <c r="C17" i="4" s="1"/>
  <c r="O20" i="1"/>
  <c r="E12" i="4" l="1"/>
  <c r="F12" i="4" s="1"/>
  <c r="O105" i="1"/>
  <c r="G81" i="1"/>
  <c r="F81" i="1"/>
  <c r="A81" i="1" s="1"/>
  <c r="O106" i="1" l="1"/>
  <c r="O109" i="1"/>
  <c r="O108" i="1"/>
  <c r="E16" i="4"/>
  <c r="F16" i="4" s="1"/>
  <c r="B22" i="4"/>
  <c r="B21" i="4"/>
  <c r="B20" i="4"/>
  <c r="B19" i="4"/>
  <c r="A3" i="4"/>
  <c r="A2" i="4"/>
  <c r="F13" i="4" l="1"/>
  <c r="F17" i="4" s="1"/>
  <c r="O107" i="1"/>
  <c r="O110" i="1" s="1"/>
  <c r="E17" i="4" l="1"/>
  <c r="E21" i="4" s="1"/>
  <c r="F21" i="4"/>
  <c r="F22" i="4"/>
  <c r="F20" i="4"/>
  <c r="F19" i="4"/>
  <c r="E22" i="4" l="1"/>
  <c r="E20" i="4"/>
  <c r="E19" i="4"/>
  <c r="F23" i="4"/>
  <c r="E23" i="4" l="1"/>
  <c r="A38" i="1" l="1"/>
  <c r="A40" i="1" s="1"/>
  <c r="A42" i="1" l="1"/>
  <c r="A43" i="1" s="1"/>
  <c r="A45" i="1" s="1"/>
  <c r="A47" i="1" s="1"/>
  <c r="A48" i="1" s="1"/>
  <c r="A49" i="1" s="1"/>
  <c r="A50" i="1" s="1"/>
  <c r="A51" i="1" s="1"/>
  <c r="A52" i="1" s="1"/>
  <c r="A53" i="1" s="1"/>
  <c r="A54" i="1" s="1"/>
  <c r="A55" i="1"/>
  <c r="A61" i="1" l="1"/>
  <c r="A63" i="1" s="1"/>
  <c r="A65" i="1" s="1"/>
  <c r="A67" i="1" s="1"/>
  <c r="A69" i="1" s="1"/>
  <c r="A71" i="1" s="1"/>
  <c r="A73" i="1" s="1"/>
  <c r="A74" i="1" s="1"/>
  <c r="A76" i="1" s="1"/>
  <c r="A77" i="1"/>
  <c r="A83" i="1" l="1"/>
  <c r="A84" i="1" s="1"/>
  <c r="A85" i="1" s="1"/>
  <c r="A86" i="1" s="1"/>
  <c r="A87" i="1" s="1"/>
  <c r="A88" i="1" s="1"/>
  <c r="A90" i="1" s="1"/>
  <c r="A91" i="1" s="1"/>
  <c r="A92" i="1" s="1"/>
  <c r="A93" i="1" s="1"/>
  <c r="A94" i="1" s="1"/>
  <c r="A95" i="1" s="1"/>
  <c r="A97" i="1" s="1"/>
  <c r="A98" i="1" s="1"/>
  <c r="A99" i="1" s="1"/>
  <c r="A101" i="1" s="1"/>
  <c r="A102" i="1"/>
</calcChain>
</file>

<file path=xl/sharedStrings.xml><?xml version="1.0" encoding="utf-8"?>
<sst xmlns="http://schemas.openxmlformats.org/spreadsheetml/2006/main" count="200" uniqueCount="134">
  <si>
    <t>DESCRIPTION</t>
  </si>
  <si>
    <t>QUANTITY</t>
  </si>
  <si>
    <t>UNIT</t>
  </si>
  <si>
    <t>INSURANCE</t>
  </si>
  <si>
    <t>LS</t>
  </si>
  <si>
    <t>UNIT COST</t>
  </si>
  <si>
    <t>SR #</t>
  </si>
  <si>
    <t>SF</t>
  </si>
  <si>
    <t>Final Cleaning</t>
  </si>
  <si>
    <t>SUB COST</t>
  </si>
  <si>
    <t>PROJECTED COST</t>
  </si>
  <si>
    <t>SUGGESTED BID</t>
  </si>
  <si>
    <t>No. Of Floors:</t>
  </si>
  <si>
    <t>TOTAL DIV. COST</t>
  </si>
  <si>
    <t>TOTAL TRADE COST</t>
  </si>
  <si>
    <t>CONTINGENCY</t>
  </si>
  <si>
    <t>Date:</t>
  </si>
  <si>
    <t>OVERHEAD AND PROFIT</t>
  </si>
  <si>
    <t>GENERAL REQUIREMENTS</t>
  </si>
  <si>
    <t>Scope:</t>
  </si>
  <si>
    <t>WASTAGE</t>
  </si>
  <si>
    <t>QUANTITY W/ WASTAGE</t>
  </si>
  <si>
    <t>SUBTOTAL</t>
  </si>
  <si>
    <t>TAX</t>
  </si>
  <si>
    <t>GENERAL SUMMARY</t>
  </si>
  <si>
    <t>DETAILED BREAKDOWN OF ITEMS</t>
  </si>
  <si>
    <t>LABOR COST</t>
  </si>
  <si>
    <t>MAT. COST</t>
  </si>
  <si>
    <t>BUILDING GSF</t>
  </si>
  <si>
    <t>1st Floor (SF)</t>
  </si>
  <si>
    <t>Electrical</t>
  </si>
  <si>
    <t xml:space="preserve">  </t>
  </si>
  <si>
    <t>ELECTRICAL</t>
  </si>
  <si>
    <t>Project ID:</t>
  </si>
  <si>
    <t>EA</t>
  </si>
  <si>
    <t>DEMOLITION</t>
  </si>
  <si>
    <t>LF</t>
  </si>
  <si>
    <t>Drawing #</t>
  </si>
  <si>
    <t>UNIT MANHOUR</t>
  </si>
  <si>
    <t>HOURLY WAGE</t>
  </si>
  <si>
    <t>EXISTING CONDITIONS</t>
  </si>
  <si>
    <t>POWER</t>
  </si>
  <si>
    <t>LIGHTING</t>
  </si>
  <si>
    <t>PLUMBING</t>
  </si>
  <si>
    <t>PLUMBING FIXTURES</t>
  </si>
  <si>
    <t>HVAC</t>
  </si>
  <si>
    <t>TOTAL DIV. COST (PER SF)</t>
  </si>
  <si>
    <t xml:space="preserve">Plumbing </t>
  </si>
  <si>
    <t>Permits</t>
  </si>
  <si>
    <t>Supervision and Coordination</t>
  </si>
  <si>
    <t>Submittals and Shop drawings</t>
  </si>
  <si>
    <t>Mobilization Costs</t>
  </si>
  <si>
    <t>Temporary Control &amp; Facilities</t>
  </si>
  <si>
    <t>Scaffolding</t>
  </si>
  <si>
    <t>General Requirements</t>
  </si>
  <si>
    <t>Existing Condition</t>
  </si>
  <si>
    <t>Notes:</t>
  </si>
  <si>
    <t>TRENCHING &amp; BACKFILLING</t>
  </si>
  <si>
    <t>PANEL</t>
  </si>
  <si>
    <t>DIVISION NO</t>
  </si>
  <si>
    <t>HEATING, VENTILATING, AND AIR CONDITIONING (HVAC)</t>
  </si>
  <si>
    <t>01 00 00</t>
  </si>
  <si>
    <t>02 00 00</t>
  </si>
  <si>
    <t>22 00 00</t>
  </si>
  <si>
    <t>23 00 00</t>
  </si>
  <si>
    <t>24 00 00</t>
  </si>
  <si>
    <t>SITE GSF</t>
  </si>
  <si>
    <t>OVERALL PROJECT GSF</t>
  </si>
  <si>
    <t>Units Legends ; LS=Lumsum, CY= Cubic Yard, SF=Square Footage LF= Linear Footage, EA=Count/Each</t>
  </si>
  <si>
    <t>EXISTING BUILDING TO BE REMOVED</t>
  </si>
  <si>
    <t>RAMP AND STOOP TO BE REMOVED</t>
  </si>
  <si>
    <t>REMOVE EXISTING GUARD RAIL</t>
  </si>
  <si>
    <t>DEMO DOMESTIC WATER AND SANITARY 
LINES TO THE EDGE OF CONCRET DEMO</t>
  </si>
  <si>
    <t>REMOVE EXISTING 4" DIA ESS</t>
  </si>
  <si>
    <t>REMOVE EXISTING 45 DEGREE ELBOW</t>
  </si>
  <si>
    <t>REMOVE EXISTING CLEAN OUT</t>
  </si>
  <si>
    <t xml:space="preserve">SANITARY PIPING </t>
  </si>
  <si>
    <t xml:space="preserve">4" SANITARY PIPING </t>
  </si>
  <si>
    <t xml:space="preserve">VENT PIPING </t>
  </si>
  <si>
    <t xml:space="preserve">2" VENT PIPING </t>
  </si>
  <si>
    <t xml:space="preserve">DOMESTIC COLD WATER PIPING </t>
  </si>
  <si>
    <t xml:space="preserve">1/2" DOMESTIC COLD WATER PIPING </t>
  </si>
  <si>
    <t xml:space="preserve">2" DOMESTIC COLD WATER PIPING </t>
  </si>
  <si>
    <t xml:space="preserve">DOMESTIC HOT WATER PIPING </t>
  </si>
  <si>
    <t xml:space="preserve">1/2" DOMESTIC HOT WATER PIPING </t>
  </si>
  <si>
    <t>(WC1) WATER CLOSET _x000D_
DESCRIPTION: FLOOR-MOUNTED, VITREOUS CHINA, SIPHON JET ACTION, CLOSE-COUPLED TANK TYPE WITH ELONGATED BOWL. WATER CLOSET SHALL BE AMERICAN STANDARD 2467.016 “CADET _x000D_
ELONGATED” LOW CONSUMPTION (1.6 GALLONS/FLUSH) OR EQUAL BY KOHLER OR ELJER. WATER CLOSET SHALL BE COMPLETE WITH SOLID PLASTIC, EXTRA HEAVY, OPEN FRONT SEAT WITH _x000D_
STAINLESS STEEL HINGE POSTS AND CONCEALED CHECK; AMERICAN STANDARD 5320.114, ZURN Z5955SS-EL, OR EQUAL, WHITE COLOR.  MUST MEET HEIGHT REQUIRED BY ACCESSIBILITY _x000D_
GUIDELINES.</t>
  </si>
  <si>
    <t>(L1) WALL HUNG LAVATORY _x000D_
DESCRIPTION: 20" X 18" SIZE, VITREOUS CHINA, WALL-HUNG LAVATORY, BACK AND SIDE SPLASH SHIELDS, AMERICAN STANDARD, "LUCERNE" 0355.012, KOHLER K-2005 “PENNINGTON”, ZURN Z5344, OR EQUAL _x000D_
BY KOHLER OR ELJER.  LAVATORIES SHALL BE SUPPORTED BY THE SPECIFIED CARRIERS._x000D_
SUPPLY PIPE ASSEMBLY SHALL BE AMERICAN STANDARD OR EQUAL, 2303.154, CONSISTING OF 1/2" WHEEL HANDLE ANGLE VALVE, 1/2" MALE THREAD INLET ESCUTCHEON AND 1/2" X 12-3/4" _x000D_
FLEXIBLE TUBE RISER.  ASSEMBLY SHALL BE FURNISHED WITH A CHROME FINISH.  LAVATORY TRAP SHALL BE AMERICAN STANDARD 4418.026 OR EQUAL, CHROME PLATED "P" TRAP WITH _x000D_
CLEANOUT PLUG.</t>
  </si>
  <si>
    <t>(S1) SINK _x000D_
DESCRIPTION: ELKAY "LUSTERTONE" LRAD-191850, OR EQUAL, SINGLE COMPARTMENT, 18 GA. STAINLESS STEEL, SELF-RIMMING SINK WITH LEDGE BACK. SINK SHALL BE 19" LONG X 18" WIDE X 5" DEEP WITH _x000D_
BOWL MEASURING 16” LONG X 11-1/2” WIDE. SINK SHALL BE FITTED WITH FAUCET HOLES AS REQUIRED FOR THE SPECIFIED FAUCET._x000D_
SINK SHALL BE FITTED WITH AMERICAN STANDARD 4205.000, RELIANT KITCHEN FAUCET, OR EQUAL, CONSISTING OF CHROME LEVER HANDLE WITH SET SCREW, 3/8" COPPER TUBING INLETS _x000D_
AND ADJUSTABLE SWING SPOUT WITH AERATOR, 2.2 GPM. SINK SHALL BE FURTHER FITTED WITH AMERICAN STANDARD OR EQUAL, 4331.013 CRUMB CUP STRAINER OF ALL-BRASS _x000D_
CONSTRUCTION WITH A RUBBER STOPPER, 3-1/2" OUTLET AND 1-1/2" X 4", 20 GA. TAILPIECE WITH BRASS LOCKNUT AND COUPLING NUT.  TRIM SHALL BE FURNISHED WITH A CHROME FINISH._x000D_
SUPPLY PIPE ASSEMBLY SHALL BE AMERICAN STANDARD 2303.154, OR EQUAL, CONSISTING OF 3/8" WHEEL HANDLE ANGLE VALVE, 3/8" MALE THREAD OUTLET, ESCUTCHEON AND 3/8" X 12-3/4 _x000D_
FLEXIBLE TUBE RISER.  ASSEMBLY SHALL BE FURNISHED WITH A CHROME FINISH.</t>
  </si>
  <si>
    <t>(SS1) SERVICE SINK _x000D_
DESCRIPTION: AMERICAN STANDARD 7741.000 "FLORWELL", KOHLER K-6710 “WHITBY”, ZURN Z5850-D3, OR EQUAL, CAST IRON, ACID-RESISTANT ENAMELED, CORNER MODEL, FLOOR-MOUNTED WITH CURBED _x000D_
FRONT, COMPLETE WITH 8344.112 "HERITAGE", ZURN Z843NI OR EQUAL, DUAL CONTROL FAUCET WITH LEVER HANDLES AND EXPOSED VACUUM BREAKER ASSEMBLY, BUCKET HOOK AND 3/4" _x000D_
HOSE OUTLET; 7721.038 STRAINER AND DRAIN; 7745.811 REMOVABLE VINYL COATED RIM GUARD; AND 3" STANDARD "P" TRAP.</t>
  </si>
  <si>
    <t>(FD1) FLOOR DRAIN _x000D_
DESCRIPTION: FINISHED FLOORS: ZURN ZB-415-B OR EQUAL BY WADE OR SMITH, CAST IRON DRAIN WITH FLANGE AND WEEP HOLES, CAULKED BOTTOM OUTLET, ROUND TOP IRON ADJUSTABLE COLLAR WITH _x000D_
ROLL THREAD, TYPE B, POLISHED BRONZE STRAINER. EACH DRAIN SHALL BE PROVIDED WITH INDEPENDENT DEEP-SEAL TYPE “P” TRAP WITH 4” MINIMUM WATER SEAL TO PREVENT ODORS. _x000D_
PROVIDE PROSET TRAP GUARD - TRAP PRIMER ALTERNATE OR EQUAL.</t>
  </si>
  <si>
    <t>TAG: WH-1 - ELECTRIC WATER HEATER _x000D_
MFG: A.O. SMITH - DEL-15 _x000D_
STORAGE (GAL): 15</t>
  </si>
  <si>
    <t>(FPHB) FROST PROOF HOSE BIB _x000D_
DESCRIPTION:  EXTERIOR WALL HYDRANTS SHALL BE ZURN Z-1310 OR EQUAL BY WADE OR JOSAM. HYDRANT SHALL BE OF CAST BRASS CONSTRUCTION, NON-FREEZE, HEAVY DUTY TYPE, “T” OPERATED AND _x000D_
WITH INTEGRAL VACUUM BREAKER. HYDRANT SHALL BE FURNISHED WITH UNION ELBOW ASSEMBLY AND IN LENGTH REQUIRED BY WALL THICKNESS.</t>
  </si>
  <si>
    <t>CLEAN OUT</t>
  </si>
  <si>
    <t>MECHANICAL</t>
  </si>
  <si>
    <t>CIRCULAR DUCT</t>
  </si>
  <si>
    <t>6" DIA CIRCULAR DUCT</t>
  </si>
  <si>
    <t xml:space="preserve">CONDENSATE DRAIN </t>
  </si>
  <si>
    <t xml:space="preserve">1/2" DIA CONDENSATE DRAIN </t>
  </si>
  <si>
    <t xml:space="preserve">REFRIGERANT LINES </t>
  </si>
  <si>
    <t>AIR HANDLING UNIT</t>
  </si>
  <si>
    <t>(AHU-1) - DUCTLESS MINI-SPLIT HEAT PUMP _x000D_
- TOTAL SUPPLY CFM: 475 _x000D_
- TOTAL HEAT: 17,700_x000D_
- WEIGHT: 40</t>
  </si>
  <si>
    <t>CONDENSING UNIT</t>
  </si>
  <si>
    <t>MARK: CU-1 (CONDENSING UNIT) _x000D_
CAPACITY (BTUH): 17,700 _x000D_
WEIGHT: 130</t>
  </si>
  <si>
    <t>EXHAUST FAN</t>
  </si>
  <si>
    <t>(EF-1) - FAN _x000D_
- TYPE: INLINE CABINET _x000D_
- ELECTRICAL: 51 WATTS 115V/1 DIA_x000D_
- CFM: 100_x000D_</t>
  </si>
  <si>
    <t>EXHAUST AIR GRILLE</t>
  </si>
  <si>
    <t>25 CFM - EXHAUST AIR GRILLE</t>
  </si>
  <si>
    <t>75 CFM - EXHAUST AIR GRILLE</t>
  </si>
  <si>
    <t>MISC</t>
  </si>
  <si>
    <t>GREENHECK WC-6</t>
  </si>
  <si>
    <t>(A) XTRALIGHT #LPR22-300L-40K-DIM. 2X2 VOLUMETRIC TROFFER</t>
  </si>
  <si>
    <t>(B) CREE #C-WP-B-RDC-3L-40K-DB. LED WALL PACKS WITH BATTERY PACK</t>
  </si>
  <si>
    <t>(C) CREE #C-EE-A-EX-SFC-ELSF-RED-BB-SV. UNIVERSAL MOUNTED</t>
  </si>
  <si>
    <t>THREE WAY SWITCH</t>
  </si>
  <si>
    <t>FOUR WAY SWITCH</t>
  </si>
  <si>
    <t xml:space="preserve">DUPLEX RECEPTACLE </t>
  </si>
  <si>
    <t xml:space="preserve">GFI DUPLEX RECEPTACLE </t>
  </si>
  <si>
    <t>208/30A/2P/NF/NEMA-1 DISSCONNECT SWITCH</t>
  </si>
  <si>
    <t>208/30A/2P/NF/NEMA-3R DISSCONNECT SWITCH</t>
  </si>
  <si>
    <t>ENCLOSED 30A 3PST 600 VOLT SWITCH w/ LOCKOUT DEVICE</t>
  </si>
  <si>
    <t>JUNCTION BOX</t>
  </si>
  <si>
    <t xml:space="preserve">PANEL: LGH - 120/208 VOLT, 3Dia, 4W </t>
  </si>
  <si>
    <t xml:space="preserve">ALLOWANCE FOR WIRING &amp; CONDUIT </t>
  </si>
  <si>
    <t>A0.1</t>
  </si>
  <si>
    <t>M2.1</t>
  </si>
  <si>
    <t>E2.1</t>
  </si>
  <si>
    <t>1337 W. PETERS ROAD CASA GRANDE, ARIZONA 85193</t>
  </si>
  <si>
    <t>(D) TROY RLM CLASSIC #RS16-LED1835-RD-C-FGG-2-SL30-RD-C. SIGN ARM
MOUNT CLASSIC DECORATIVE FIXTURE . SEE ARCH ELEVATIONS FOR 
PLACEMENTS. FIXTURE TO HVAE SMALL LOOP MOUNT WITH CAST CAGE ON 
BULB.</t>
  </si>
  <si>
    <r>
      <rPr>
        <sz val="12"/>
        <color rgb="FFFF0000"/>
        <rFont val="Times New Roman"/>
        <family val="1"/>
      </rPr>
      <t xml:space="preserve">RE-USE </t>
    </r>
    <r>
      <rPr>
        <sz val="12"/>
        <color theme="1"/>
        <rFont val="Times New Roman"/>
        <family val="1"/>
      </rPr>
      <t>EXISTING 30KVA XFMR AND GROUND ROD</t>
    </r>
  </si>
  <si>
    <r>
      <rPr>
        <sz val="12"/>
        <color rgb="FFFF0000"/>
        <rFont val="Times New Roman"/>
        <family val="1"/>
      </rPr>
      <t>RE-USE</t>
    </r>
    <r>
      <rPr>
        <sz val="12"/>
        <color theme="1"/>
        <rFont val="Times New Roman"/>
        <family val="1"/>
      </rPr>
      <t xml:space="preserve"> EXISTING 60A DISCONNECT SWITCH</t>
    </r>
  </si>
  <si>
    <t>TOTAL MATERIAL COST</t>
  </si>
  <si>
    <t>TOTAL LABOR COST</t>
  </si>
  <si>
    <t>TOTAL MAT. COST</t>
  </si>
  <si>
    <t>MEP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</si>
</sst>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  <numFmt numFmtId="166" formatCode="_(&quot;$&quot;* #,##0_);_(&quot;$&quot;* \(#,##0\);_(&quot;$&quot;* &quot;-&quot;??_);_(@_)"/>
    <numFmt numFmtId="167" formatCode="[$$-409]#,##0"/>
    <numFmt numFmtId="168" formatCode="[$-409]d\-mmm\-yy;@"/>
    <numFmt numFmtId="169" formatCode="0.000"/>
    <numFmt numFmtId="170" formatCode="_-[$$-409]* #,##0.00_ ;_-[$$-409]* \-#,##0.00\ ;_-[$$-409]* &quot;-&quot;??_ ;_-@_ "/>
  </numFmts>
  <fonts count="27" x14ac:knownFonts="1">
    <font>
      <sz val="11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  <font>
      <sz val="14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2"/>
      <name val="Arial"/>
      <family val="2"/>
    </font>
    <font>
      <b/>
      <sz val="16"/>
      <color theme="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B3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9A88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4"/>
      <name val="Times New Roman"/>
      <family val="1"/>
    </font>
    <font>
      <b/>
      <sz val="14"/>
      <color rgb="FF009A88"/>
      <name val="Times New Roman"/>
      <family val="1"/>
    </font>
    <font>
      <b/>
      <sz val="11"/>
      <name val="Times New Roman"/>
      <family val="1"/>
    </font>
    <font>
      <b/>
      <sz val="14"/>
      <color theme="0"/>
      <name val="Times New Roman"/>
      <family val="1"/>
    </font>
    <font>
      <b/>
      <sz val="12"/>
      <color rgb="FF0000CC"/>
      <name val="Times New Roman"/>
      <family val="1"/>
    </font>
    <font>
      <sz val="10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sz val="12"/>
      <color rgb="FFFF0000"/>
      <name val="Times New Roman"/>
      <family val="1"/>
    </font>
    <font>
      <sz val="8"/>
      <name val="Tw Cen MT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rgb="FF013554"/>
        <bgColor indexed="64"/>
      </patternFill>
    </fill>
    <fill>
      <patternFill patternType="solid">
        <fgColor rgb="FF00496A"/>
        <bgColor indexed="64"/>
      </patternFill>
    </fill>
    <fill>
      <patternFill patternType="solid">
        <fgColor rgb="FF4A4C4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" fontId="1" fillId="3" borderId="1">
      <alignment horizontal="center"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5" borderId="26" applyNumberFormat="0" applyFont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166" fontId="0" fillId="3" borderId="0" xfId="0" applyNumberFormat="1" applyFill="1"/>
    <xf numFmtId="0" fontId="0" fillId="3" borderId="0" xfId="0" applyFill="1" applyAlignment="1">
      <alignment vertical="center" wrapText="1"/>
    </xf>
    <xf numFmtId="0" fontId="0" fillId="6" borderId="0" xfId="0" applyFill="1" applyAlignment="1">
      <alignment vertical="center"/>
    </xf>
    <xf numFmtId="0" fontId="6" fillId="3" borderId="8" xfId="0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3" fontId="7" fillId="3" borderId="0" xfId="0" applyNumberFormat="1" applyFont="1" applyFill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166" fontId="14" fillId="0" borderId="12" xfId="0" applyNumberFormat="1" applyFont="1" applyBorder="1"/>
    <xf numFmtId="166" fontId="12" fillId="8" borderId="9" xfId="2" applyNumberFormat="1" applyFont="1" applyFill="1" applyBorder="1" applyAlignment="1">
      <alignment vertical="center"/>
    </xf>
    <xf numFmtId="166" fontId="16" fillId="7" borderId="10" xfId="2" applyNumberFormat="1" applyFont="1" applyFill="1" applyBorder="1" applyAlignment="1">
      <alignment horizontal="center" vertical="center"/>
    </xf>
    <xf numFmtId="44" fontId="16" fillId="7" borderId="10" xfId="2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68" fontId="6" fillId="3" borderId="10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3" fontId="18" fillId="3" borderId="0" xfId="0" applyNumberFormat="1" applyFont="1" applyFill="1" applyAlignment="1">
      <alignment horizontal="left" vertical="center" wrapText="1"/>
    </xf>
    <xf numFmtId="0" fontId="19" fillId="3" borderId="10" xfId="0" applyFont="1" applyFill="1" applyBorder="1" applyAlignment="1">
      <alignment horizontal="right" vertical="center" wrapText="1"/>
    </xf>
    <xf numFmtId="0" fontId="7" fillId="0" borderId="24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1" fontId="13" fillId="3" borderId="38" xfId="5" applyNumberFormat="1" applyFont="1" applyFill="1" applyBorder="1" applyAlignment="1">
      <alignment horizontal="center" vertical="center"/>
    </xf>
    <xf numFmtId="1" fontId="13" fillId="3" borderId="39" xfId="5" applyNumberFormat="1" applyFont="1" applyFill="1" applyBorder="1" applyAlignment="1">
      <alignment horizontal="center" vertical="center"/>
    </xf>
    <xf numFmtId="0" fontId="14" fillId="0" borderId="40" xfId="0" applyFont="1" applyBorder="1" applyAlignment="1">
      <alignment horizontal="left" vertical="center"/>
    </xf>
    <xf numFmtId="0" fontId="14" fillId="0" borderId="40" xfId="0" applyFont="1" applyBorder="1" applyAlignment="1">
      <alignment horizontal="center" vertical="center"/>
    </xf>
    <xf numFmtId="9" fontId="14" fillId="0" borderId="40" xfId="0" applyNumberFormat="1" applyFont="1" applyBorder="1" applyAlignment="1">
      <alignment horizontal="center" vertical="center"/>
    </xf>
    <xf numFmtId="1" fontId="14" fillId="0" borderId="40" xfId="0" applyNumberFormat="1" applyFont="1" applyBorder="1" applyAlignment="1">
      <alignment horizontal="center" vertical="center"/>
    </xf>
    <xf numFmtId="2" fontId="13" fillId="3" borderId="39" xfId="5" applyNumberFormat="1" applyFont="1" applyFill="1" applyBorder="1" applyAlignment="1">
      <alignment horizontal="center" vertical="center"/>
    </xf>
    <xf numFmtId="44" fontId="14" fillId="0" borderId="40" xfId="3" applyFont="1" applyBorder="1" applyAlignment="1">
      <alignment horizontal="center" vertical="center"/>
    </xf>
    <xf numFmtId="44" fontId="14" fillId="0" borderId="40" xfId="0" applyNumberFormat="1" applyFont="1" applyBorder="1" applyAlignment="1">
      <alignment horizontal="center" vertical="center" wrapText="1"/>
    </xf>
    <xf numFmtId="44" fontId="14" fillId="0" borderId="28" xfId="0" applyNumberFormat="1" applyFont="1" applyBorder="1" applyAlignment="1">
      <alignment horizontal="center" vertical="center" wrapText="1"/>
    </xf>
    <xf numFmtId="1" fontId="13" fillId="3" borderId="36" xfId="5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44" fontId="14" fillId="0" borderId="1" xfId="3" applyFont="1" applyBorder="1" applyAlignment="1">
      <alignment horizontal="center" vertical="center"/>
    </xf>
    <xf numFmtId="44" fontId="14" fillId="0" borderId="1" xfId="0" applyNumberFormat="1" applyFont="1" applyBorder="1" applyAlignment="1">
      <alignment horizontal="center" vertical="center" wrapText="1"/>
    </xf>
    <xf numFmtId="44" fontId="14" fillId="0" borderId="12" xfId="0" applyNumberFormat="1" applyFont="1" applyBorder="1" applyAlignment="1">
      <alignment horizontal="center" vertical="center" wrapText="1"/>
    </xf>
    <xf numFmtId="166" fontId="14" fillId="0" borderId="12" xfId="0" applyNumberFormat="1" applyFont="1" applyBorder="1" applyAlignment="1">
      <alignment horizontal="center" vertical="center" wrapText="1"/>
    </xf>
    <xf numFmtId="0" fontId="9" fillId="8" borderId="41" xfId="0" applyFont="1" applyFill="1" applyBorder="1" applyAlignment="1">
      <alignment vertical="center"/>
    </xf>
    <xf numFmtId="44" fontId="9" fillId="8" borderId="41" xfId="3" applyFont="1" applyFill="1" applyBorder="1" applyAlignment="1">
      <alignment horizontal="right" vertical="center"/>
    </xf>
    <xf numFmtId="44" fontId="12" fillId="8" borderId="41" xfId="0" applyNumberFormat="1" applyFont="1" applyFill="1" applyBorder="1" applyAlignment="1">
      <alignment horizontal="right" vertical="center" wrapText="1"/>
    </xf>
    <xf numFmtId="166" fontId="12" fillId="8" borderId="45" xfId="0" applyNumberFormat="1" applyFont="1" applyFill="1" applyBorder="1" applyAlignment="1">
      <alignment vertical="center" wrapText="1"/>
    </xf>
    <xf numFmtId="44" fontId="9" fillId="0" borderId="0" xfId="3" applyFont="1" applyFill="1" applyBorder="1" applyAlignment="1">
      <alignment horizontal="right" vertical="center"/>
    </xf>
    <xf numFmtId="166" fontId="9" fillId="0" borderId="10" xfId="0" applyNumberFormat="1" applyFont="1" applyBorder="1" applyAlignment="1">
      <alignment vertical="center" wrapText="1"/>
    </xf>
    <xf numFmtId="0" fontId="16" fillId="6" borderId="25" xfId="0" applyFont="1" applyFill="1" applyBorder="1" applyAlignment="1">
      <alignment vertical="center"/>
    </xf>
    <xf numFmtId="0" fontId="16" fillId="6" borderId="41" xfId="0" applyFont="1" applyFill="1" applyBorder="1" applyAlignment="1">
      <alignment vertical="center"/>
    </xf>
    <xf numFmtId="0" fontId="12" fillId="6" borderId="44" xfId="0" applyFont="1" applyFill="1" applyBorder="1" applyAlignment="1">
      <alignment horizontal="center" vertical="center"/>
    </xf>
    <xf numFmtId="0" fontId="20" fillId="6" borderId="44" xfId="0" applyFont="1" applyFill="1" applyBorder="1" applyAlignment="1">
      <alignment vertical="center"/>
    </xf>
    <xf numFmtId="0" fontId="12" fillId="6" borderId="41" xfId="0" applyFont="1" applyFill="1" applyBorder="1" applyAlignment="1">
      <alignment vertical="center"/>
    </xf>
    <xf numFmtId="0" fontId="12" fillId="6" borderId="41" xfId="0" applyFont="1" applyFill="1" applyBorder="1" applyAlignment="1">
      <alignment vertical="center" wrapText="1"/>
    </xf>
    <xf numFmtId="0" fontId="12" fillId="6" borderId="45" xfId="0" applyFont="1" applyFill="1" applyBorder="1" applyAlignment="1">
      <alignment vertical="center" wrapText="1"/>
    </xf>
    <xf numFmtId="1" fontId="13" fillId="0" borderId="1" xfId="5" applyNumberFormat="1" applyFont="1" applyFill="1" applyBorder="1" applyAlignment="1">
      <alignment vertical="center"/>
    </xf>
    <xf numFmtId="0" fontId="12" fillId="7" borderId="42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44" fontId="14" fillId="0" borderId="1" xfId="3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4" fillId="3" borderId="8" xfId="5" applyFont="1" applyFill="1" applyBorder="1" applyAlignment="1">
      <alignment horizontal="left" vertical="center" wrapText="1"/>
    </xf>
    <xf numFmtId="0" fontId="14" fillId="3" borderId="0" xfId="5" applyFont="1" applyFill="1" applyBorder="1" applyAlignment="1">
      <alignment horizontal="left" vertical="center" wrapText="1"/>
    </xf>
    <xf numFmtId="0" fontId="13" fillId="3" borderId="0" xfId="5" applyFont="1" applyFill="1" applyBorder="1" applyAlignment="1">
      <alignment horizontal="center" vertical="center"/>
    </xf>
    <xf numFmtId="9" fontId="13" fillId="3" borderId="0" xfId="8" applyFont="1" applyFill="1" applyBorder="1" applyAlignment="1">
      <alignment horizontal="center" vertical="center"/>
    </xf>
    <xf numFmtId="44" fontId="13" fillId="3" borderId="0" xfId="3" applyFont="1" applyFill="1" applyBorder="1" applyAlignment="1" applyProtection="1">
      <alignment horizontal="center" vertical="center"/>
    </xf>
    <xf numFmtId="166" fontId="14" fillId="0" borderId="10" xfId="0" applyNumberFormat="1" applyFont="1" applyBorder="1" applyAlignment="1">
      <alignment horizontal="center" vertical="center" wrapText="1"/>
    </xf>
    <xf numFmtId="1" fontId="13" fillId="3" borderId="1" xfId="5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44" fontId="13" fillId="3" borderId="1" xfId="7" applyFont="1" applyFill="1" applyBorder="1" applyAlignment="1" applyProtection="1">
      <alignment horizontal="center" vertical="center"/>
    </xf>
    <xf numFmtId="0" fontId="13" fillId="3" borderId="1" xfId="5" applyFont="1" applyFill="1" applyBorder="1" applyAlignment="1">
      <alignment horizontal="center" vertical="center"/>
    </xf>
    <xf numFmtId="0" fontId="13" fillId="3" borderId="36" xfId="5" applyFont="1" applyFill="1" applyBorder="1" applyAlignment="1">
      <alignment horizontal="center" vertical="center"/>
    </xf>
    <xf numFmtId="9" fontId="13" fillId="3" borderId="1" xfId="6" applyFont="1" applyFill="1" applyBorder="1" applyAlignment="1">
      <alignment horizontal="center" vertical="center"/>
    </xf>
    <xf numFmtId="41" fontId="13" fillId="3" borderId="1" xfId="5" applyNumberFormat="1" applyFont="1" applyFill="1" applyBorder="1" applyAlignment="1">
      <alignment horizontal="center" vertical="center"/>
    </xf>
    <xf numFmtId="1" fontId="13" fillId="0" borderId="1" xfId="5" applyNumberFormat="1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right" vertical="center"/>
    </xf>
    <xf numFmtId="0" fontId="12" fillId="7" borderId="6" xfId="0" applyFont="1" applyFill="1" applyBorder="1" applyAlignment="1">
      <alignment horizontal="right" vertical="center"/>
    </xf>
    <xf numFmtId="0" fontId="12" fillId="7" borderId="6" xfId="0" applyFont="1" applyFill="1" applyBorder="1" applyAlignment="1">
      <alignment vertical="center" wrapText="1"/>
    </xf>
    <xf numFmtId="165" fontId="12" fillId="7" borderId="15" xfId="0" applyNumberFormat="1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left" vertical="center"/>
    </xf>
    <xf numFmtId="0" fontId="12" fillId="7" borderId="37" xfId="0" applyFont="1" applyFill="1" applyBorder="1" applyAlignment="1">
      <alignment horizontal="left" vertical="center"/>
    </xf>
    <xf numFmtId="9" fontId="12" fillId="7" borderId="4" xfId="0" applyNumberFormat="1" applyFont="1" applyFill="1" applyBorder="1" applyAlignment="1">
      <alignment horizontal="center" vertical="center" wrapText="1"/>
    </xf>
    <xf numFmtId="167" fontId="12" fillId="7" borderId="13" xfId="0" applyNumberFormat="1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left" vertical="center"/>
    </xf>
    <xf numFmtId="9" fontId="12" fillId="7" borderId="1" xfId="0" applyNumberFormat="1" applyFont="1" applyFill="1" applyBorder="1" applyAlignment="1">
      <alignment horizontal="center" vertical="center" wrapText="1"/>
    </xf>
    <xf numFmtId="167" fontId="12" fillId="7" borderId="12" xfId="0" applyNumberFormat="1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left" vertical="center"/>
    </xf>
    <xf numFmtId="0" fontId="12" fillId="7" borderId="30" xfId="0" applyFont="1" applyFill="1" applyBorder="1" applyAlignment="1">
      <alignment horizontal="left" vertical="center"/>
    </xf>
    <xf numFmtId="0" fontId="12" fillId="7" borderId="30" xfId="0" applyFont="1" applyFill="1" applyBorder="1" applyAlignment="1">
      <alignment horizontal="right" vertical="center"/>
    </xf>
    <xf numFmtId="0" fontId="12" fillId="7" borderId="31" xfId="0" applyFont="1" applyFill="1" applyBorder="1" applyAlignment="1">
      <alignment horizontal="right" vertical="center"/>
    </xf>
    <xf numFmtId="9" fontId="12" fillId="7" borderId="32" xfId="0" applyNumberFormat="1" applyFont="1" applyFill="1" applyBorder="1" applyAlignment="1">
      <alignment horizontal="center" vertical="center" wrapText="1"/>
    </xf>
    <xf numFmtId="167" fontId="12" fillId="7" borderId="33" xfId="0" applyNumberFormat="1" applyFont="1" applyFill="1" applyBorder="1" applyAlignment="1">
      <alignment horizontal="center" vertical="center" wrapText="1"/>
    </xf>
    <xf numFmtId="167" fontId="12" fillId="8" borderId="28" xfId="0" applyNumberFormat="1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/>
    </xf>
    <xf numFmtId="0" fontId="22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11" fillId="0" borderId="38" xfId="0" applyFont="1" applyBorder="1" applyAlignment="1">
      <alignment horizontal="center" vertical="center"/>
    </xf>
    <xf numFmtId="0" fontId="13" fillId="0" borderId="46" xfId="0" applyFont="1" applyBorder="1" applyAlignment="1">
      <alignment vertical="center"/>
    </xf>
    <xf numFmtId="166" fontId="14" fillId="0" borderId="28" xfId="0" applyNumberFormat="1" applyFont="1" applyBorder="1"/>
    <xf numFmtId="0" fontId="12" fillId="6" borderId="20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0" fillId="3" borderId="10" xfId="0" applyFill="1" applyBorder="1"/>
    <xf numFmtId="164" fontId="0" fillId="3" borderId="16" xfId="0" applyNumberFormat="1" applyFill="1" applyBorder="1"/>
    <xf numFmtId="0" fontId="0" fillId="3" borderId="16" xfId="0" applyFill="1" applyBorder="1"/>
    <xf numFmtId="0" fontId="0" fillId="3" borderId="17" xfId="0" applyFill="1" applyBorder="1"/>
    <xf numFmtId="0" fontId="14" fillId="0" borderId="1" xfId="0" applyFont="1" applyBorder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vertical="center" wrapText="1"/>
    </xf>
    <xf numFmtId="166" fontId="9" fillId="3" borderId="0" xfId="0" applyNumberFormat="1" applyFont="1" applyFill="1" applyAlignment="1">
      <alignment horizontal="right"/>
    </xf>
    <xf numFmtId="168" fontId="10" fillId="3" borderId="0" xfId="0" applyNumberFormat="1" applyFont="1" applyFill="1" applyAlignment="1">
      <alignment horizontal="left" vertical="center"/>
    </xf>
    <xf numFmtId="44" fontId="0" fillId="3" borderId="0" xfId="0" applyNumberFormat="1" applyFill="1"/>
    <xf numFmtId="9" fontId="12" fillId="7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5" fillId="3" borderId="0" xfId="0" applyFont="1" applyFill="1" applyAlignment="1">
      <alignment vertical="center"/>
    </xf>
    <xf numFmtId="3" fontId="7" fillId="3" borderId="0" xfId="0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19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 wrapText="1"/>
    </xf>
    <xf numFmtId="0" fontId="9" fillId="0" borderId="0" xfId="0" applyFont="1" applyAlignment="1">
      <alignment vertical="center"/>
    </xf>
    <xf numFmtId="44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69" fontId="14" fillId="0" borderId="0" xfId="0" applyNumberFormat="1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9" borderId="1" xfId="0" applyFont="1" applyFill="1" applyBorder="1" applyAlignment="1">
      <alignment vertical="center"/>
    </xf>
    <xf numFmtId="0" fontId="12" fillId="6" borderId="27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47" xfId="0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left" vertical="center"/>
    </xf>
    <xf numFmtId="3" fontId="7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168" fontId="6" fillId="3" borderId="0" xfId="0" applyNumberFormat="1" applyFont="1" applyFill="1" applyAlignment="1">
      <alignment horizontal="left" vertical="center"/>
    </xf>
    <xf numFmtId="0" fontId="14" fillId="0" borderId="40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center" vertical="center"/>
    </xf>
    <xf numFmtId="0" fontId="15" fillId="3" borderId="28" xfId="3" applyNumberFormat="1" applyFont="1" applyFill="1" applyBorder="1"/>
    <xf numFmtId="3" fontId="12" fillId="8" borderId="37" xfId="0" applyNumberFormat="1" applyFont="1" applyFill="1" applyBorder="1" applyAlignment="1">
      <alignment horizontal="center"/>
    </xf>
    <xf numFmtId="0" fontId="12" fillId="8" borderId="25" xfId="0" applyFont="1" applyFill="1" applyBorder="1" applyAlignment="1">
      <alignment horizontal="left" vertical="center"/>
    </xf>
    <xf numFmtId="166" fontId="9" fillId="8" borderId="41" xfId="0" applyNumberFormat="1" applyFont="1" applyFill="1" applyBorder="1" applyAlignment="1">
      <alignment horizontal="right"/>
    </xf>
    <xf numFmtId="0" fontId="12" fillId="10" borderId="8" xfId="0" applyFont="1" applyFill="1" applyBorder="1" applyAlignment="1">
      <alignment horizontal="left" vertical="center"/>
    </xf>
    <xf numFmtId="166" fontId="9" fillId="10" borderId="0" xfId="0" applyNumberFormat="1" applyFont="1" applyFill="1" applyAlignment="1">
      <alignment horizontal="right"/>
    </xf>
    <xf numFmtId="3" fontId="12" fillId="10" borderId="0" xfId="0" applyNumberFormat="1" applyFont="1" applyFill="1" applyAlignment="1">
      <alignment horizontal="center"/>
    </xf>
    <xf numFmtId="0" fontId="12" fillId="10" borderId="48" xfId="0" applyFont="1" applyFill="1" applyBorder="1" applyAlignment="1">
      <alignment horizontal="left" vertical="center"/>
    </xf>
    <xf numFmtId="3" fontId="12" fillId="10" borderId="41" xfId="0" applyNumberFormat="1" applyFont="1" applyFill="1" applyBorder="1" applyAlignment="1">
      <alignment horizontal="center"/>
    </xf>
    <xf numFmtId="166" fontId="9" fillId="10" borderId="44" xfId="0" applyNumberFormat="1" applyFont="1" applyFill="1" applyBorder="1" applyAlignment="1">
      <alignment horizontal="right"/>
    </xf>
    <xf numFmtId="0" fontId="12" fillId="10" borderId="25" xfId="0" applyFont="1" applyFill="1" applyBorder="1" applyAlignment="1">
      <alignment horizontal="left" vertical="center"/>
    </xf>
    <xf numFmtId="3" fontId="12" fillId="10" borderId="37" xfId="0" applyNumberFormat="1" applyFont="1" applyFill="1" applyBorder="1" applyAlignment="1">
      <alignment horizontal="center"/>
    </xf>
    <xf numFmtId="166" fontId="9" fillId="10" borderId="41" xfId="0" applyNumberFormat="1" applyFont="1" applyFill="1" applyBorder="1" applyAlignment="1">
      <alignment horizontal="right"/>
    </xf>
    <xf numFmtId="0" fontId="12" fillId="7" borderId="8" xfId="0" applyFont="1" applyFill="1" applyBorder="1" applyAlignment="1">
      <alignment horizontal="left" vertical="center"/>
    </xf>
    <xf numFmtId="0" fontId="0" fillId="10" borderId="49" xfId="0" applyFill="1" applyBorder="1"/>
    <xf numFmtId="0" fontId="0" fillId="10" borderId="43" xfId="0" applyFill="1" applyBorder="1"/>
    <xf numFmtId="0" fontId="0" fillId="10" borderId="36" xfId="0" applyFill="1" applyBorder="1"/>
    <xf numFmtId="0" fontId="0" fillId="8" borderId="36" xfId="0" applyFill="1" applyBorder="1"/>
    <xf numFmtId="0" fontId="9" fillId="8" borderId="41" xfId="0" applyFont="1" applyFill="1" applyBorder="1" applyAlignment="1">
      <alignment horizontal="center" vertical="center"/>
    </xf>
    <xf numFmtId="0" fontId="16" fillId="6" borderId="41" xfId="0" applyFont="1" applyFill="1" applyBorder="1" applyAlignment="1">
      <alignment horizontal="center" vertical="center"/>
    </xf>
    <xf numFmtId="0" fontId="14" fillId="3" borderId="0" xfId="5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4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6" fillId="11" borderId="41" xfId="0" applyFont="1" applyFill="1" applyBorder="1" applyAlignment="1">
      <alignment vertical="center"/>
    </xf>
    <xf numFmtId="0" fontId="12" fillId="11" borderId="44" xfId="0" applyFont="1" applyFill="1" applyBorder="1" applyAlignment="1">
      <alignment horizontal="center" vertical="center"/>
    </xf>
    <xf numFmtId="0" fontId="12" fillId="11" borderId="41" xfId="0" applyFont="1" applyFill="1" applyBorder="1" applyAlignment="1">
      <alignment vertical="center" wrapText="1"/>
    </xf>
    <xf numFmtId="0" fontId="12" fillId="11" borderId="45" xfId="0" applyFont="1" applyFill="1" applyBorder="1" applyAlignment="1">
      <alignment vertical="center" wrapText="1"/>
    </xf>
    <xf numFmtId="0" fontId="16" fillId="11" borderId="41" xfId="0" applyFont="1" applyFill="1" applyBorder="1" applyAlignment="1">
      <alignment horizontal="center" vertical="center"/>
    </xf>
    <xf numFmtId="0" fontId="0" fillId="11" borderId="0" xfId="0" applyFill="1" applyAlignment="1">
      <alignment vertical="center"/>
    </xf>
    <xf numFmtId="0" fontId="20" fillId="11" borderId="41" xfId="0" applyFont="1" applyFill="1" applyBorder="1" applyAlignment="1">
      <alignment vertical="center"/>
    </xf>
    <xf numFmtId="0" fontId="23" fillId="0" borderId="1" xfId="0" applyFont="1" applyBorder="1" applyAlignment="1">
      <alignment horizontal="left" vertical="center"/>
    </xf>
    <xf numFmtId="1" fontId="24" fillId="3" borderId="7" xfId="5" applyNumberFormat="1" applyFont="1" applyFill="1" applyBorder="1" applyAlignment="1">
      <alignment vertical="center"/>
    </xf>
    <xf numFmtId="1" fontId="24" fillId="3" borderId="46" xfId="5" applyNumberFormat="1" applyFont="1" applyFill="1" applyBorder="1" applyAlignment="1">
      <alignment vertical="center"/>
    </xf>
    <xf numFmtId="1" fontId="24" fillId="3" borderId="40" xfId="5" applyNumberFormat="1" applyFont="1" applyFill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164" fontId="14" fillId="3" borderId="8" xfId="0" applyNumberFormat="1" applyFont="1" applyFill="1" applyBorder="1" applyAlignment="1">
      <alignment vertical="center"/>
    </xf>
    <xf numFmtId="9" fontId="14" fillId="3" borderId="8" xfId="8" applyFont="1" applyFill="1" applyBorder="1" applyAlignment="1">
      <alignment vertical="center"/>
    </xf>
    <xf numFmtId="9" fontId="14" fillId="3" borderId="0" xfId="8" applyFont="1" applyFill="1" applyAlignment="1">
      <alignment vertical="center"/>
    </xf>
    <xf numFmtId="170" fontId="2" fillId="2" borderId="2" xfId="0" applyNumberFormat="1" applyFont="1" applyFill="1" applyBorder="1" applyAlignment="1">
      <alignment horizontal="center" vertical="center" wrapText="1"/>
    </xf>
    <xf numFmtId="170" fontId="0" fillId="0" borderId="0" xfId="0" applyNumberFormat="1"/>
    <xf numFmtId="170" fontId="15" fillId="0" borderId="0" xfId="0" applyNumberFormat="1" applyFont="1" applyAlignment="1">
      <alignment horizontal="center" vertical="center"/>
    </xf>
    <xf numFmtId="170" fontId="12" fillId="6" borderId="22" xfId="0" applyNumberFormat="1" applyFont="1" applyFill="1" applyBorder="1" applyAlignment="1">
      <alignment horizontal="center" vertical="center" wrapText="1"/>
    </xf>
    <xf numFmtId="170" fontId="20" fillId="11" borderId="41" xfId="0" applyNumberFormat="1" applyFont="1" applyFill="1" applyBorder="1" applyAlignment="1">
      <alignment vertical="center"/>
    </xf>
    <xf numFmtId="170" fontId="12" fillId="6" borderId="41" xfId="0" applyNumberFormat="1" applyFont="1" applyFill="1" applyBorder="1" applyAlignment="1">
      <alignment vertical="center"/>
    </xf>
    <xf numFmtId="170" fontId="13" fillId="3" borderId="39" xfId="5" applyNumberFormat="1" applyFont="1" applyFill="1" applyBorder="1" applyAlignment="1">
      <alignment horizontal="center" vertical="center"/>
    </xf>
    <xf numFmtId="170" fontId="9" fillId="8" borderId="41" xfId="0" applyNumberFormat="1" applyFont="1" applyFill="1" applyBorder="1" applyAlignment="1">
      <alignment vertical="center"/>
    </xf>
    <xf numFmtId="170" fontId="9" fillId="0" borderId="0" xfId="0" applyNumberFormat="1" applyFont="1" applyAlignment="1">
      <alignment vertical="center"/>
    </xf>
    <xf numFmtId="170" fontId="14" fillId="0" borderId="1" xfId="0" applyNumberFormat="1" applyFont="1" applyBorder="1" applyAlignment="1">
      <alignment horizontal="center" vertical="center"/>
    </xf>
    <xf numFmtId="170" fontId="14" fillId="0" borderId="0" xfId="0" applyNumberFormat="1" applyFont="1" applyAlignment="1">
      <alignment horizontal="center" vertical="center"/>
    </xf>
    <xf numFmtId="170" fontId="14" fillId="0" borderId="1" xfId="3" applyNumberFormat="1" applyFont="1" applyBorder="1" applyAlignment="1">
      <alignment horizontal="center" vertical="center"/>
    </xf>
    <xf numFmtId="170" fontId="13" fillId="3" borderId="1" xfId="5" applyNumberFormat="1" applyFont="1" applyFill="1" applyBorder="1" applyAlignment="1">
      <alignment horizontal="center" vertical="center"/>
    </xf>
    <xf numFmtId="170" fontId="12" fillId="7" borderId="5" xfId="0" applyNumberFormat="1" applyFont="1" applyFill="1" applyBorder="1" applyAlignment="1">
      <alignment horizontal="right" vertical="center"/>
    </xf>
    <xf numFmtId="170" fontId="12" fillId="7" borderId="30" xfId="0" applyNumberFormat="1" applyFont="1" applyFill="1" applyBorder="1" applyAlignment="1">
      <alignment horizontal="right" vertical="center"/>
    </xf>
    <xf numFmtId="170" fontId="22" fillId="0" borderId="0" xfId="0" applyNumberFormat="1" applyFont="1" applyAlignment="1">
      <alignment horizontal="center" vertical="center"/>
    </xf>
    <xf numFmtId="170" fontId="0" fillId="3" borderId="0" xfId="0" applyNumberFormat="1" applyFill="1" applyAlignment="1">
      <alignment horizontal="center" vertical="center"/>
    </xf>
    <xf numFmtId="3" fontId="12" fillId="10" borderId="4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2" fillId="8" borderId="17" xfId="0" applyFont="1" applyFill="1" applyBorder="1" applyAlignment="1">
      <alignment horizontal="center" vertical="center"/>
    </xf>
    <xf numFmtId="44" fontId="13" fillId="0" borderId="50" xfId="0" applyNumberFormat="1" applyFont="1" applyBorder="1" applyAlignment="1">
      <alignment vertical="center"/>
    </xf>
    <xf numFmtId="44" fontId="13" fillId="0" borderId="4" xfId="0" applyNumberFormat="1" applyFont="1" applyBorder="1" applyAlignment="1">
      <alignment vertical="center"/>
    </xf>
    <xf numFmtId="0" fontId="12" fillId="7" borderId="0" xfId="0" applyFont="1" applyFill="1" applyAlignment="1">
      <alignment horizontal="right" vertical="center"/>
    </xf>
    <xf numFmtId="0" fontId="12" fillId="7" borderId="39" xfId="0" applyFont="1" applyFill="1" applyBorder="1" applyAlignment="1">
      <alignment horizontal="right" vertical="center"/>
    </xf>
    <xf numFmtId="0" fontId="12" fillId="7" borderId="51" xfId="0" applyFont="1" applyFill="1" applyBorder="1" applyAlignment="1">
      <alignment horizontal="right" vertical="center"/>
    </xf>
    <xf numFmtId="0" fontId="12" fillId="8" borderId="9" xfId="0" applyFont="1" applyFill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12" fillId="8" borderId="18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34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right" vertical="center"/>
    </xf>
    <xf numFmtId="0" fontId="12" fillId="7" borderId="5" xfId="0" applyFont="1" applyFill="1" applyBorder="1" applyAlignment="1">
      <alignment horizontal="right" vertical="center"/>
    </xf>
    <xf numFmtId="0" fontId="12" fillId="7" borderId="6" xfId="0" applyFont="1" applyFill="1" applyBorder="1" applyAlignment="1">
      <alignment horizontal="right" vertical="center"/>
    </xf>
    <xf numFmtId="1" fontId="24" fillId="3" borderId="7" xfId="5" applyNumberFormat="1" applyFont="1" applyFill="1" applyBorder="1" applyAlignment="1">
      <alignment horizontal="center" vertical="center"/>
    </xf>
    <xf numFmtId="1" fontId="24" fillId="3" borderId="46" xfId="5" applyNumberFormat="1" applyFont="1" applyFill="1" applyBorder="1" applyAlignment="1">
      <alignment horizontal="center" vertical="center"/>
    </xf>
    <xf numFmtId="1" fontId="24" fillId="3" borderId="40" xfId="5" applyNumberFormat="1" applyFont="1" applyFill="1" applyBorder="1" applyAlignment="1">
      <alignment horizontal="center" vertical="center"/>
    </xf>
    <xf numFmtId="1" fontId="24" fillId="0" borderId="7" xfId="5" applyNumberFormat="1" applyFont="1" applyFill="1" applyBorder="1" applyAlignment="1">
      <alignment horizontal="center" vertical="center"/>
    </xf>
    <xf numFmtId="1" fontId="24" fillId="0" borderId="46" xfId="5" applyNumberFormat="1" applyFont="1" applyFill="1" applyBorder="1" applyAlignment="1">
      <alignment horizontal="center" vertical="center"/>
    </xf>
    <xf numFmtId="1" fontId="24" fillId="0" borderId="40" xfId="5" applyNumberFormat="1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</cellXfs>
  <cellStyles count="9">
    <cellStyle name="Currency" xfId="3" builtinId="4"/>
    <cellStyle name="Currency 2" xfId="2" xr:uid="{00000000-0005-0000-0000-000001000000}"/>
    <cellStyle name="Currency 3" xfId="7" xr:uid="{A3D0DE26-26CF-485F-BB72-CF57C9BAEF9A}"/>
    <cellStyle name="Normal" xfId="0" builtinId="0"/>
    <cellStyle name="Normal 2 3" xfId="4" xr:uid="{00000000-0005-0000-0000-000003000000}"/>
    <cellStyle name="Note" xfId="5" builtinId="10"/>
    <cellStyle name="Percent" xfId="8" builtinId="5"/>
    <cellStyle name="Percent 2" xfId="6" xr:uid="{894EF222-2471-43AC-9800-881BA9AA9091}"/>
    <cellStyle name="Style 1" xfId="1" xr:uid="{00000000-0005-0000-0000-000004000000}"/>
  </cellStyles>
  <dxfs count="0"/>
  <tableStyles count="0" defaultTableStyle="TableStyleMedium9" defaultPivotStyle="PivotStyleLight16"/>
  <colors>
    <mruColors>
      <color rgb="FF4A4C4C"/>
      <color rgb="FF013554"/>
      <color rgb="FF00496A"/>
      <color rgb="FF001521"/>
      <color rgb="FF00A6A5"/>
      <color rgb="FF00C8C3"/>
      <color rgb="FF00A8A4"/>
      <color rgb="FF00DED9"/>
      <color rgb="FF00BCB8"/>
      <color rgb="FF00DA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DIVISION COST COMPARISON</c:v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'General Summary'!$B$12:$B$16</c:f>
              <c:strCache>
                <c:ptCount val="5"/>
                <c:pt idx="0">
                  <c:v>General Requirements</c:v>
                </c:pt>
                <c:pt idx="1">
                  <c:v>Existing Condition</c:v>
                </c:pt>
                <c:pt idx="2">
                  <c:v>Plumbing </c:v>
                </c:pt>
                <c:pt idx="3">
                  <c:v>HVAC</c:v>
                </c:pt>
                <c:pt idx="4">
                  <c:v>Electrical</c:v>
                </c:pt>
              </c:strCache>
            </c:strRef>
          </c:cat>
          <c:val>
            <c:numRef>
              <c:f>'General Summary'!$E$12:$E$16</c:f>
              <c:numCache>
                <c:formatCode>_("$"* #,##0_);_("$"* \(#,##0\);_("$"* "-"??_);_(@_)</c:formatCode>
                <c:ptCount val="5"/>
                <c:pt idx="0">
                  <c:v>3266.4765599999987</c:v>
                </c:pt>
                <c:pt idx="1">
                  <c:v>3323.1120000000005</c:v>
                </c:pt>
                <c:pt idx="2">
                  <c:v>9469.3679999999986</c:v>
                </c:pt>
                <c:pt idx="3">
                  <c:v>5750.695999999999</c:v>
                </c:pt>
                <c:pt idx="4">
                  <c:v>8677.4619999999977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8A-43C0-9BDF-5ADCB332C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525215184"/>
        <c:axId val="525188976"/>
      </c:barChart>
      <c:catAx>
        <c:axId val="5252151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188976"/>
        <c:crosses val="autoZero"/>
        <c:auto val="1"/>
        <c:lblAlgn val="ctr"/>
        <c:lblOffset val="100"/>
        <c:noMultiLvlLbl val="0"/>
      </c:catAx>
      <c:valAx>
        <c:axId val="52518897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21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1333500</xdr:colOff>
      <xdr:row>10</xdr:row>
      <xdr:rowOff>0</xdr:rowOff>
    </xdr:from>
    <xdr:to>
      <xdr:col>14</xdr:col>
      <xdr:colOff>661147</xdr:colOff>
      <xdr:row>22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7D37AD-DFDF-5416-2814-CD180CDD6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498928</xdr:colOff>
      <xdr:row>1</xdr:row>
      <xdr:rowOff>68564</xdr:rowOff>
    </xdr:from>
    <xdr:to>
      <xdr:col>12</xdr:col>
      <xdr:colOff>356507</xdr:colOff>
      <xdr:row>9</xdr:row>
      <xdr:rowOff>78992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558CB3-AE35-C967-0B7E-8B6E3BBA0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1" y="329368"/>
          <a:ext cx="2579007" cy="18247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457200</xdr:colOff>
      <xdr:row>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7412386-664B-4E9A-89CC-75563F337391}"/>
            </a:ext>
          </a:extLst>
        </xdr:cNvPr>
        <xdr:cNvSpPr txBox="1"/>
      </xdr:nvSpPr>
      <xdr:spPr>
        <a:xfrm>
          <a:off x="1466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13</xdr:col>
      <xdr:colOff>635001</xdr:colOff>
      <xdr:row>2</xdr:row>
      <xdr:rowOff>140806</xdr:rowOff>
    </xdr:from>
    <xdr:to>
      <xdr:col>14</xdr:col>
      <xdr:colOff>856404</xdr:colOff>
      <xdr:row>6</xdr:row>
      <xdr:rowOff>42297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ECA8C8D-56C3-B263-0899-967390791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28847" y="401319"/>
          <a:ext cx="1149480" cy="813286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O38"/>
  <sheetViews>
    <sheetView tabSelected="1" view="pageBreakPreview" zoomScale="56" zoomScaleNormal="100" zoomScaleSheetLayoutView="100" workbookViewId="0">
      <selection activeCell="S13" sqref="S13"/>
    </sheetView>
  </sheetViews>
  <sheetFormatPr defaultColWidth="9" defaultRowHeight="14" x14ac:dyDescent="0.3"/>
  <cols>
    <col min="1" max="1" width="24.6640625" style="6" customWidth="1"/>
    <col min="2" max="2" width="44.1640625" style="6" customWidth="1"/>
    <col min="3" max="3" width="18.58203125" style="6" customWidth="1"/>
    <col min="4" max="4" width="17.33203125" style="6" customWidth="1"/>
    <col min="5" max="6" width="17.58203125" style="7" customWidth="1"/>
    <col min="7" max="14" width="9" style="6"/>
    <col min="15" max="15" width="6.5" style="6" customWidth="1"/>
    <col min="16" max="16384" width="9" style="6"/>
  </cols>
  <sheetData>
    <row r="1" spans="1:15" ht="20.5" thickBot="1" x14ac:dyDescent="0.35">
      <c r="A1" s="216" t="s">
        <v>24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8"/>
    </row>
    <row r="2" spans="1:15" ht="17.5" x14ac:dyDescent="0.3">
      <c r="A2" s="10" t="str">
        <f>'Takeoff Breakdown'!A3</f>
        <v>Project ID:</v>
      </c>
      <c r="B2" s="141" t="str">
        <f>'Takeoff Breakdown'!B3</f>
        <v>1337 W. PETERS ROAD CASA GRANDE, ARIZONA 85193</v>
      </c>
      <c r="C2" s="141"/>
      <c r="D2" s="141"/>
      <c r="E2" s="115"/>
      <c r="F2" s="6"/>
      <c r="O2" s="110"/>
    </row>
    <row r="3" spans="1:15" ht="17.5" x14ac:dyDescent="0.3">
      <c r="A3" s="10" t="str">
        <f>'Takeoff Breakdown'!A4</f>
        <v>Scope:</v>
      </c>
      <c r="B3" s="142" t="str">
        <f>'Takeoff Breakdown'!B4</f>
        <v>MEP</v>
      </c>
      <c r="C3" s="142"/>
      <c r="D3" s="142"/>
      <c r="E3" s="116"/>
      <c r="F3" s="6"/>
      <c r="O3" s="110"/>
    </row>
    <row r="4" spans="1:15" customFormat="1" ht="17.5" x14ac:dyDescent="0.3">
      <c r="A4" s="10" t="s">
        <v>12</v>
      </c>
      <c r="B4" s="143">
        <v>1</v>
      </c>
      <c r="C4" s="143"/>
      <c r="D4" s="143"/>
      <c r="E4" s="116"/>
      <c r="F4" s="6"/>
      <c r="G4" s="6"/>
      <c r="H4" s="6"/>
      <c r="I4" s="6"/>
      <c r="J4" s="6"/>
      <c r="K4" s="6"/>
      <c r="L4" s="6"/>
      <c r="M4" s="6"/>
      <c r="N4" s="6"/>
      <c r="O4" s="110"/>
    </row>
    <row r="5" spans="1:15" ht="17.5" x14ac:dyDescent="0.3">
      <c r="A5" s="10" t="s">
        <v>16</v>
      </c>
      <c r="B5" s="144">
        <f ca="1">'Takeoff Breakdown'!O8</f>
        <v>46095</v>
      </c>
      <c r="C5" s="144"/>
      <c r="D5" s="144"/>
      <c r="E5" s="117"/>
      <c r="F5" s="6"/>
      <c r="O5" s="110"/>
    </row>
    <row r="6" spans="1:15" ht="15" x14ac:dyDescent="0.3">
      <c r="A6" s="13"/>
      <c r="B6" s="118"/>
      <c r="C6" s="118"/>
      <c r="D6" s="118"/>
      <c r="E6" s="117"/>
      <c r="F6" s="6"/>
      <c r="O6" s="110"/>
    </row>
    <row r="7" spans="1:15" ht="18.649999999999999" customHeight="1" x14ac:dyDescent="0.3">
      <c r="A7" s="151" t="s">
        <v>67</v>
      </c>
      <c r="B7" s="153">
        <f>B8+B9</f>
        <v>1412</v>
      </c>
      <c r="C7" s="153"/>
      <c r="D7" s="153"/>
      <c r="E7" s="152"/>
      <c r="F7" s="161"/>
      <c r="O7" s="110"/>
    </row>
    <row r="8" spans="1:15" ht="18.649999999999999" customHeight="1" x14ac:dyDescent="0.3">
      <c r="A8" s="154" t="s">
        <v>66</v>
      </c>
      <c r="B8" s="155">
        <v>1068</v>
      </c>
      <c r="C8" s="204"/>
      <c r="D8" s="204"/>
      <c r="E8" s="156"/>
      <c r="F8" s="162"/>
      <c r="O8" s="110"/>
    </row>
    <row r="9" spans="1:15" ht="18.649999999999999" customHeight="1" x14ac:dyDescent="0.3">
      <c r="A9" s="157" t="s">
        <v>28</v>
      </c>
      <c r="B9" s="158">
        <f>B10</f>
        <v>344</v>
      </c>
      <c r="C9" s="158"/>
      <c r="D9" s="158"/>
      <c r="E9" s="159"/>
      <c r="F9" s="163"/>
      <c r="O9" s="110"/>
    </row>
    <row r="10" spans="1:15" ht="15.5" thickBot="1" x14ac:dyDescent="0.35">
      <c r="A10" s="149" t="s">
        <v>29</v>
      </c>
      <c r="B10" s="148">
        <v>344</v>
      </c>
      <c r="C10" s="148"/>
      <c r="D10" s="148"/>
      <c r="E10" s="150"/>
      <c r="F10" s="164"/>
      <c r="O10" s="110"/>
    </row>
    <row r="11" spans="1:15" ht="45.5" thickBot="1" x14ac:dyDescent="0.35">
      <c r="A11" s="107" t="s">
        <v>59</v>
      </c>
      <c r="B11" s="108" t="s">
        <v>0</v>
      </c>
      <c r="C11" s="109" t="s">
        <v>131</v>
      </c>
      <c r="D11" s="109" t="s">
        <v>130</v>
      </c>
      <c r="E11" s="109" t="s">
        <v>13</v>
      </c>
      <c r="F11" s="109" t="s">
        <v>46</v>
      </c>
      <c r="O11" s="110"/>
    </row>
    <row r="12" spans="1:15" ht="15.5" x14ac:dyDescent="0.35">
      <c r="A12" s="104" t="s">
        <v>61</v>
      </c>
      <c r="B12" s="105" t="s">
        <v>54</v>
      </c>
      <c r="C12" s="207">
        <f>'Takeoff Breakdown'!L20</f>
        <v>3266.4765599999987</v>
      </c>
      <c r="D12" s="207">
        <f>'Takeoff Breakdown'!M20</f>
        <v>0</v>
      </c>
      <c r="E12" s="106">
        <f>'Takeoff Breakdown'!O20</f>
        <v>3266.4765599999987</v>
      </c>
      <c r="F12" s="147">
        <f>E12/$B$7</f>
        <v>2.3133686685552397</v>
      </c>
      <c r="O12" s="110"/>
    </row>
    <row r="13" spans="1:15" ht="15.5" x14ac:dyDescent="0.35">
      <c r="A13" s="14" t="s">
        <v>62</v>
      </c>
      <c r="B13" s="15" t="s">
        <v>55</v>
      </c>
      <c r="C13" s="208">
        <f>'Takeoff Breakdown'!L33</f>
        <v>3323.1120000000005</v>
      </c>
      <c r="D13" s="208">
        <f>'Takeoff Breakdown'!M33</f>
        <v>0</v>
      </c>
      <c r="E13" s="16">
        <f>'Takeoff Breakdown'!O33</f>
        <v>3323.1120000000005</v>
      </c>
      <c r="F13" s="147">
        <f t="shared" ref="F13:F16" si="0">E13/$B$9</f>
        <v>9.6602093023255833</v>
      </c>
      <c r="O13" s="110"/>
    </row>
    <row r="14" spans="1:15" ht="15.5" x14ac:dyDescent="0.35">
      <c r="A14" s="14" t="s">
        <v>63</v>
      </c>
      <c r="B14" s="15" t="s">
        <v>47</v>
      </c>
      <c r="C14" s="205">
        <f>'Takeoff Breakdown'!L56</f>
        <v>4086.4751999999999</v>
      </c>
      <c r="D14" s="205">
        <f>'Takeoff Breakdown'!M56</f>
        <v>5382.8928000000005</v>
      </c>
      <c r="E14" s="16">
        <f>'Takeoff Breakdown'!O56</f>
        <v>9469.3679999999986</v>
      </c>
      <c r="F14" s="147">
        <f t="shared" si="0"/>
        <v>27.527232558139531</v>
      </c>
      <c r="O14" s="110"/>
    </row>
    <row r="15" spans="1:15" ht="15.5" x14ac:dyDescent="0.35">
      <c r="A15" s="14" t="s">
        <v>64</v>
      </c>
      <c r="B15" s="15" t="s">
        <v>45</v>
      </c>
      <c r="C15" s="205">
        <f>'Takeoff Breakdown'!L78</f>
        <v>1816.3040000000001</v>
      </c>
      <c r="D15" s="205">
        <f>'Takeoff Breakdown'!M78</f>
        <v>3934.3919999999994</v>
      </c>
      <c r="E15" s="16">
        <f>'Takeoff Breakdown'!O78</f>
        <v>5750.695999999999</v>
      </c>
      <c r="F15" s="147">
        <f t="shared" si="0"/>
        <v>16.717139534883717</v>
      </c>
      <c r="O15" s="110"/>
    </row>
    <row r="16" spans="1:15" ht="16" thickBot="1" x14ac:dyDescent="0.4">
      <c r="A16" s="14" t="s">
        <v>65</v>
      </c>
      <c r="B16" s="15" t="s">
        <v>30</v>
      </c>
      <c r="C16" s="205">
        <f>'Takeoff Breakdown'!L103</f>
        <v>3571.152</v>
      </c>
      <c r="D16" s="205">
        <f>'Takeoff Breakdown'!M103</f>
        <v>5106.3100000000004</v>
      </c>
      <c r="E16" s="16">
        <f>'Takeoff Breakdown'!O103</f>
        <v>8677.4619999999977</v>
      </c>
      <c r="F16" s="147">
        <f t="shared" si="0"/>
        <v>25.225180232558134</v>
      </c>
      <c r="O16" s="110"/>
    </row>
    <row r="17" spans="1:15" ht="15.5" thickBot="1" x14ac:dyDescent="0.35">
      <c r="A17" s="212" t="s">
        <v>14</v>
      </c>
      <c r="B17" s="212"/>
      <c r="C17" s="17">
        <f>SUM(C12:C16)</f>
        <v>16063.519759999999</v>
      </c>
      <c r="D17" s="17">
        <f>SUM(D12:D16)</f>
        <v>14423.594799999999</v>
      </c>
      <c r="E17" s="17">
        <f>SUM(E12:E16)</f>
        <v>30487.114559999995</v>
      </c>
      <c r="F17" s="17">
        <f>SUM(F12:F16)</f>
        <v>81.443130296462201</v>
      </c>
      <c r="H17" s="119"/>
      <c r="O17" s="110"/>
    </row>
    <row r="18" spans="1:15" ht="15.5" thickBot="1" x14ac:dyDescent="0.35">
      <c r="A18" s="213"/>
      <c r="B18" s="213"/>
      <c r="C18" s="213"/>
      <c r="D18" s="213"/>
      <c r="E18" s="213"/>
      <c r="F18" s="213"/>
      <c r="O18" s="110"/>
    </row>
    <row r="19" spans="1:15" ht="15.5" x14ac:dyDescent="0.3">
      <c r="A19" s="160" t="s">
        <v>17</v>
      </c>
      <c r="B19" s="120">
        <f>+'Takeoff Breakdown'!N106</f>
        <v>0.15</v>
      </c>
      <c r="C19" s="120"/>
      <c r="D19" s="120"/>
      <c r="E19" s="18">
        <f>E17*B19</f>
        <v>4573.0671839999986</v>
      </c>
      <c r="F19" s="19">
        <f>F17*B19</f>
        <v>12.21646954446933</v>
      </c>
      <c r="G19" s="119"/>
      <c r="H19" s="119"/>
      <c r="O19" s="110"/>
    </row>
    <row r="20" spans="1:15" ht="15.5" x14ac:dyDescent="0.3">
      <c r="A20" s="160" t="s">
        <v>3</v>
      </c>
      <c r="B20" s="120">
        <f>+'Takeoff Breakdown'!N107</f>
        <v>0</v>
      </c>
      <c r="C20" s="120"/>
      <c r="D20" s="120"/>
      <c r="E20" s="18">
        <f>E17*B20</f>
        <v>0</v>
      </c>
      <c r="F20" s="18">
        <f>F17*B20</f>
        <v>0</v>
      </c>
      <c r="O20" s="110"/>
    </row>
    <row r="21" spans="1:15" ht="15.5" x14ac:dyDescent="0.3">
      <c r="A21" s="160" t="s">
        <v>15</v>
      </c>
      <c r="B21" s="120">
        <f>+'Takeoff Breakdown'!N108</f>
        <v>0.05</v>
      </c>
      <c r="C21" s="120"/>
      <c r="D21" s="120"/>
      <c r="E21" s="18">
        <f>E17*B21</f>
        <v>1524.3557279999998</v>
      </c>
      <c r="F21" s="18">
        <f>F17*B21</f>
        <v>4.07215651482311</v>
      </c>
      <c r="O21" s="110"/>
    </row>
    <row r="22" spans="1:15" ht="16" thickBot="1" x14ac:dyDescent="0.35">
      <c r="A22" s="160" t="s">
        <v>23</v>
      </c>
      <c r="B22" s="120">
        <f>'Takeoff Breakdown'!N109</f>
        <v>9.7000000000000003E-2</v>
      </c>
      <c r="C22" s="120"/>
      <c r="D22" s="120"/>
      <c r="E22" s="18">
        <f>E17*B22</f>
        <v>2957.2501123199995</v>
      </c>
      <c r="F22" s="18">
        <f>F17*B22</f>
        <v>7.8999836387568338</v>
      </c>
      <c r="O22" s="110"/>
    </row>
    <row r="23" spans="1:15" ht="15.5" thickBot="1" x14ac:dyDescent="0.35">
      <c r="A23" s="214" t="s">
        <v>11</v>
      </c>
      <c r="B23" s="215"/>
      <c r="C23" s="206"/>
      <c r="D23" s="206"/>
      <c r="E23" s="17">
        <f>SUM(E17,E19:E22)</f>
        <v>39541.787584319994</v>
      </c>
      <c r="F23" s="17">
        <f>SUM(F17,F19:F22)</f>
        <v>105.63173999451148</v>
      </c>
      <c r="G23" s="111"/>
      <c r="H23" s="112"/>
      <c r="I23" s="112"/>
      <c r="J23" s="112"/>
      <c r="K23" s="112"/>
      <c r="L23" s="112"/>
      <c r="M23" s="112"/>
      <c r="N23" s="112"/>
      <c r="O23" s="113"/>
    </row>
    <row r="30" spans="1:15" x14ac:dyDescent="0.3">
      <c r="E30" s="6"/>
      <c r="F30" s="6"/>
    </row>
    <row r="31" spans="1:15" x14ac:dyDescent="0.3">
      <c r="E31" s="6"/>
      <c r="F31" s="6"/>
    </row>
    <row r="32" spans="1:15" x14ac:dyDescent="0.3">
      <c r="E32" s="6"/>
      <c r="F32" s="6"/>
    </row>
    <row r="33" s="6" customFormat="1" x14ac:dyDescent="0.3"/>
    <row r="34" s="6" customFormat="1" x14ac:dyDescent="0.3"/>
    <row r="35" s="6" customFormat="1" x14ac:dyDescent="0.3"/>
    <row r="36" s="6" customFormat="1" x14ac:dyDescent="0.3"/>
    <row r="37" s="6" customFormat="1" x14ac:dyDescent="0.3"/>
    <row r="38" s="6" customFormat="1" x14ac:dyDescent="0.3"/>
  </sheetData>
  <mergeCells count="4">
    <mergeCell ref="A17:B17"/>
    <mergeCell ref="A18:F18"/>
    <mergeCell ref="A23:B23"/>
    <mergeCell ref="A1:O1"/>
  </mergeCells>
  <phoneticPr fontId="26" type="noConversion"/>
  <pageMargins left="0.7" right="0.7" top="0.75" bottom="0.75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BM113"/>
  <sheetViews>
    <sheetView showGridLines="0" topLeftCell="A2" zoomScale="39" zoomScaleNormal="39" zoomScaleSheetLayoutView="115" workbookViewId="0">
      <selection activeCell="I6" sqref="I6"/>
    </sheetView>
  </sheetViews>
  <sheetFormatPr defaultColWidth="9" defaultRowHeight="15.5" x14ac:dyDescent="0.3"/>
  <cols>
    <col min="1" max="2" width="16" style="4" customWidth="1"/>
    <col min="3" max="3" width="73" style="4" customWidth="1"/>
    <col min="4" max="4" width="10.58203125" style="4" customWidth="1"/>
    <col min="5" max="5" width="12.1640625" style="5" customWidth="1"/>
    <col min="6" max="6" width="11.08203125" style="5" customWidth="1"/>
    <col min="7" max="7" width="14.9140625" style="5" customWidth="1"/>
    <col min="8" max="8" width="12.08203125" style="5" customWidth="1"/>
    <col min="9" max="9" width="10" style="203" customWidth="1"/>
    <col min="10" max="10" width="12.58203125" style="4" customWidth="1"/>
    <col min="11" max="11" width="11.58203125" style="4" customWidth="1"/>
    <col min="12" max="12" width="13.6640625" style="4" customWidth="1"/>
    <col min="13" max="13" width="11.58203125" style="4" customWidth="1"/>
    <col min="14" max="14" width="12.08203125" style="8" customWidth="1"/>
    <col min="15" max="15" width="11.5" style="8" customWidth="1"/>
    <col min="16" max="16" width="11.58203125" style="170" hidden="1" customWidth="1"/>
    <col min="17" max="16384" width="9" style="4"/>
  </cols>
  <sheetData>
    <row r="1" spans="1:65" s="1" customFormat="1" ht="15" hidden="1" customHeight="1" thickTop="1" x14ac:dyDescent="0.3">
      <c r="A1" s="2"/>
      <c r="B1" s="3"/>
      <c r="C1" s="3"/>
      <c r="D1" s="3"/>
      <c r="E1" s="3"/>
      <c r="F1" s="3"/>
      <c r="G1" s="3"/>
      <c r="H1" s="3"/>
      <c r="I1" s="187"/>
      <c r="J1" s="3"/>
      <c r="K1" s="3"/>
      <c r="L1" s="3"/>
      <c r="M1" s="3"/>
      <c r="N1" s="3"/>
      <c r="O1" s="3"/>
      <c r="P1" s="171"/>
    </row>
    <row r="2" spans="1:65" ht="20.5" thickBot="1" x14ac:dyDescent="0.35">
      <c r="A2" s="216" t="s">
        <v>25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8"/>
    </row>
    <row r="3" spans="1:65" ht="18" customHeight="1" x14ac:dyDescent="0.3">
      <c r="A3" s="20" t="s">
        <v>33</v>
      </c>
      <c r="B3" s="141" t="s">
        <v>126</v>
      </c>
      <c r="C3" s="122"/>
      <c r="D3" s="23"/>
      <c r="E3" s="24"/>
      <c r="F3" s="24"/>
      <c r="G3" s="24"/>
      <c r="H3" s="24"/>
      <c r="I3" s="188"/>
      <c r="J3" s="21"/>
      <c r="K3" s="21"/>
      <c r="L3" s="21"/>
      <c r="M3" s="21"/>
      <c r="N3" s="11"/>
      <c r="O3" s="22"/>
    </row>
    <row r="4" spans="1:65" ht="18" customHeight="1" x14ac:dyDescent="0.3">
      <c r="A4" s="25" t="s">
        <v>19</v>
      </c>
      <c r="B4" s="12" t="s">
        <v>133</v>
      </c>
      <c r="C4" s="122"/>
      <c r="D4" s="26"/>
      <c r="E4" s="26"/>
      <c r="F4" s="24"/>
      <c r="G4" s="24"/>
      <c r="H4" s="24"/>
      <c r="I4" s="189"/>
      <c r="J4" s="125"/>
      <c r="K4" s="125"/>
      <c r="L4" s="125"/>
      <c r="M4" s="125"/>
      <c r="N4" s="126"/>
      <c r="O4" s="27"/>
    </row>
    <row r="5" spans="1:65" ht="18" customHeight="1" x14ac:dyDescent="0.3">
      <c r="A5" s="25"/>
      <c r="B5" s="124"/>
      <c r="C5" s="123"/>
      <c r="D5" s="26"/>
      <c r="E5" s="26"/>
      <c r="F5" s="24"/>
      <c r="G5" s="24"/>
      <c r="H5" s="24"/>
      <c r="I5" s="189"/>
      <c r="J5" s="125"/>
      <c r="K5" s="125"/>
      <c r="L5" s="125"/>
      <c r="M5" s="125"/>
      <c r="N5" s="126"/>
      <c r="O5" s="27"/>
    </row>
    <row r="6" spans="1:65" ht="18" customHeight="1" x14ac:dyDescent="0.3">
      <c r="A6" s="25"/>
      <c r="B6" s="124"/>
      <c r="C6" s="123"/>
      <c r="D6" s="26"/>
      <c r="E6" s="26"/>
      <c r="F6" s="24"/>
      <c r="G6" s="24"/>
      <c r="H6" s="24"/>
      <c r="I6" s="189"/>
      <c r="J6" s="125"/>
      <c r="K6" s="125"/>
      <c r="L6" s="125"/>
      <c r="M6" s="125"/>
      <c r="N6" s="126"/>
      <c r="O6" s="27"/>
    </row>
    <row r="7" spans="1:65" ht="6.75" customHeight="1" x14ac:dyDescent="0.3">
      <c r="A7" s="25"/>
      <c r="B7" s="124"/>
      <c r="C7" s="26"/>
      <c r="D7" s="26"/>
      <c r="E7" s="26"/>
      <c r="F7" s="24"/>
      <c r="G7" s="24"/>
      <c r="H7" s="24"/>
      <c r="I7" s="189"/>
      <c r="J7" s="125"/>
      <c r="K7" s="125"/>
      <c r="L7" s="125"/>
      <c r="M7" s="125"/>
      <c r="N7" s="126"/>
      <c r="O7" s="27"/>
    </row>
    <row r="8" spans="1:65" ht="18.5" thickBot="1" x14ac:dyDescent="0.35">
      <c r="A8" s="28"/>
      <c r="B8" s="121"/>
      <c r="C8" s="29"/>
      <c r="D8" s="23"/>
      <c r="E8" s="24"/>
      <c r="F8" s="24"/>
      <c r="G8" s="24"/>
      <c r="H8" s="24"/>
      <c r="I8" s="189"/>
      <c r="J8" s="21"/>
      <c r="K8" s="21"/>
      <c r="L8" s="21"/>
      <c r="M8" s="21"/>
      <c r="N8" s="11" t="s">
        <v>16</v>
      </c>
      <c r="O8" s="22">
        <f ca="1">TODAY()</f>
        <v>46095</v>
      </c>
    </row>
    <row r="9" spans="1:65" s="1" customFormat="1" ht="59.4" customHeight="1" thickTop="1" x14ac:dyDescent="0.3">
      <c r="A9" s="137" t="s">
        <v>6</v>
      </c>
      <c r="B9" s="138" t="s">
        <v>37</v>
      </c>
      <c r="C9" s="139" t="s">
        <v>0</v>
      </c>
      <c r="D9" s="139" t="s">
        <v>2</v>
      </c>
      <c r="E9" s="139" t="s">
        <v>1</v>
      </c>
      <c r="F9" s="139" t="s">
        <v>20</v>
      </c>
      <c r="G9" s="139" t="s">
        <v>21</v>
      </c>
      <c r="H9" s="139" t="s">
        <v>38</v>
      </c>
      <c r="I9" s="190" t="s">
        <v>39</v>
      </c>
      <c r="J9" s="139" t="s">
        <v>26</v>
      </c>
      <c r="K9" s="139" t="s">
        <v>27</v>
      </c>
      <c r="L9" s="139" t="s">
        <v>131</v>
      </c>
      <c r="M9" s="139" t="s">
        <v>132</v>
      </c>
      <c r="N9" s="139" t="s">
        <v>5</v>
      </c>
      <c r="O9" s="140" t="s">
        <v>9</v>
      </c>
      <c r="P9" s="183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</row>
    <row r="10" spans="1:65" s="177" customFormat="1" ht="17.5" x14ac:dyDescent="0.3">
      <c r="A10" s="176"/>
      <c r="B10" s="172"/>
      <c r="C10" s="173"/>
      <c r="D10" s="178" t="s">
        <v>68</v>
      </c>
      <c r="E10" s="178"/>
      <c r="F10" s="178"/>
      <c r="G10" s="178"/>
      <c r="H10" s="178"/>
      <c r="I10" s="191"/>
      <c r="J10" s="178"/>
      <c r="K10" s="178"/>
      <c r="L10" s="178"/>
      <c r="M10" s="178"/>
      <c r="N10" s="174"/>
      <c r="O10" s="175"/>
      <c r="P10" s="183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</row>
    <row r="11" spans="1:65" s="9" customFormat="1" ht="18" customHeight="1" x14ac:dyDescent="0.3">
      <c r="A11" s="54"/>
      <c r="B11" s="55"/>
      <c r="C11" s="56"/>
      <c r="D11" s="57" t="s">
        <v>18</v>
      </c>
      <c r="E11" s="58"/>
      <c r="F11" s="58"/>
      <c r="G11" s="58"/>
      <c r="H11" s="58"/>
      <c r="I11" s="192"/>
      <c r="J11" s="58"/>
      <c r="K11" s="58"/>
      <c r="L11" s="58"/>
      <c r="M11" s="58"/>
      <c r="N11" s="59"/>
      <c r="O11" s="60"/>
      <c r="P11" s="184">
        <f>SUM(O23:O103)/2</f>
        <v>27220.637999999988</v>
      </c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</row>
    <row r="12" spans="1:65" x14ac:dyDescent="0.3">
      <c r="A12" s="30">
        <f>IF(F12&lt;&gt;"",1+MAX($A$2:A11),"")</f>
        <v>1</v>
      </c>
      <c r="B12" s="31"/>
      <c r="C12" s="32" t="s">
        <v>48</v>
      </c>
      <c r="D12" s="33" t="s">
        <v>4</v>
      </c>
      <c r="E12" s="33">
        <v>1</v>
      </c>
      <c r="F12" s="34">
        <v>0</v>
      </c>
      <c r="G12" s="35">
        <f t="shared" ref="G12:G18" si="0">(F12*E12)+E12</f>
        <v>1</v>
      </c>
      <c r="H12" s="36">
        <f>$P$11*P12/I12</f>
        <v>5.4441275999999981</v>
      </c>
      <c r="I12" s="193">
        <v>50</v>
      </c>
      <c r="J12" s="37">
        <f t="shared" ref="J12:J18" si="1">H12*I12</f>
        <v>272.20637999999991</v>
      </c>
      <c r="K12" s="37">
        <v>0</v>
      </c>
      <c r="L12" s="37">
        <f t="shared" ref="L12:L18" si="2">J12*G12</f>
        <v>272.20637999999991</v>
      </c>
      <c r="M12" s="37">
        <f t="shared" ref="M12:M18" si="3">K12*G12</f>
        <v>0</v>
      </c>
      <c r="N12" s="38">
        <f t="shared" ref="N12:N18" si="4">J12+K12</f>
        <v>272.20637999999991</v>
      </c>
      <c r="O12" s="39">
        <f t="shared" ref="O12:O18" si="5">G12*N12</f>
        <v>272.20637999999991</v>
      </c>
      <c r="P12" s="185">
        <v>0.01</v>
      </c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</row>
    <row r="13" spans="1:65" x14ac:dyDescent="0.3">
      <c r="A13" s="30">
        <f>IF(F13&lt;&gt;"",1+MAX($A$2:A12),"")</f>
        <v>2</v>
      </c>
      <c r="B13" s="40"/>
      <c r="C13" s="114" t="s">
        <v>49</v>
      </c>
      <c r="D13" s="33" t="s">
        <v>4</v>
      </c>
      <c r="E13" s="41">
        <v>1</v>
      </c>
      <c r="F13" s="42">
        <v>0</v>
      </c>
      <c r="G13" s="43">
        <f t="shared" si="0"/>
        <v>1</v>
      </c>
      <c r="H13" s="36">
        <f t="shared" ref="H13:H18" si="6">$P$11*P13/I13</f>
        <v>16.332382799999991</v>
      </c>
      <c r="I13" s="193">
        <v>50</v>
      </c>
      <c r="J13" s="37">
        <f t="shared" si="1"/>
        <v>816.61913999999956</v>
      </c>
      <c r="K13" s="44">
        <v>0</v>
      </c>
      <c r="L13" s="37">
        <f t="shared" si="2"/>
        <v>816.61913999999956</v>
      </c>
      <c r="M13" s="37">
        <f t="shared" si="3"/>
        <v>0</v>
      </c>
      <c r="N13" s="38">
        <f t="shared" si="4"/>
        <v>816.61913999999956</v>
      </c>
      <c r="O13" s="39">
        <f t="shared" si="5"/>
        <v>816.61913999999956</v>
      </c>
      <c r="P13" s="185">
        <v>0.03</v>
      </c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</row>
    <row r="14" spans="1:65" x14ac:dyDescent="0.3">
      <c r="A14" s="30">
        <f>IF(F14&lt;&gt;"",1+MAX($A$2:A13),"")</f>
        <v>3</v>
      </c>
      <c r="B14" s="40"/>
      <c r="C14" s="114" t="s">
        <v>50</v>
      </c>
      <c r="D14" s="33" t="s">
        <v>4</v>
      </c>
      <c r="E14" s="41">
        <v>1</v>
      </c>
      <c r="F14" s="42">
        <v>0</v>
      </c>
      <c r="G14" s="43">
        <f t="shared" si="0"/>
        <v>1</v>
      </c>
      <c r="H14" s="36">
        <f t="shared" si="6"/>
        <v>5.4441275999999981</v>
      </c>
      <c r="I14" s="193">
        <v>50</v>
      </c>
      <c r="J14" s="37">
        <f t="shared" si="1"/>
        <v>272.20637999999991</v>
      </c>
      <c r="K14" s="44">
        <v>0</v>
      </c>
      <c r="L14" s="37">
        <f t="shared" si="2"/>
        <v>272.20637999999991</v>
      </c>
      <c r="M14" s="37">
        <f t="shared" si="3"/>
        <v>0</v>
      </c>
      <c r="N14" s="38">
        <f t="shared" si="4"/>
        <v>272.20637999999991</v>
      </c>
      <c r="O14" s="39">
        <f t="shared" si="5"/>
        <v>272.20637999999991</v>
      </c>
      <c r="P14" s="185">
        <v>0.01</v>
      </c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</row>
    <row r="15" spans="1:65" x14ac:dyDescent="0.3">
      <c r="A15" s="30">
        <f>IF(F15&lt;&gt;"",1+MAX($A$2:A14),"")</f>
        <v>4</v>
      </c>
      <c r="B15" s="40"/>
      <c r="C15" s="114" t="s">
        <v>8</v>
      </c>
      <c r="D15" s="33" t="s">
        <v>4</v>
      </c>
      <c r="E15" s="41">
        <v>1</v>
      </c>
      <c r="F15" s="42">
        <v>0</v>
      </c>
      <c r="G15" s="43">
        <f t="shared" si="0"/>
        <v>1</v>
      </c>
      <c r="H15" s="36">
        <f t="shared" si="6"/>
        <v>2.722063799999999</v>
      </c>
      <c r="I15" s="193">
        <v>50</v>
      </c>
      <c r="J15" s="37">
        <f t="shared" si="1"/>
        <v>136.10318999999996</v>
      </c>
      <c r="K15" s="44">
        <v>0</v>
      </c>
      <c r="L15" s="37">
        <f t="shared" si="2"/>
        <v>136.10318999999996</v>
      </c>
      <c r="M15" s="37">
        <f t="shared" si="3"/>
        <v>0</v>
      </c>
      <c r="N15" s="38">
        <f t="shared" si="4"/>
        <v>136.10318999999996</v>
      </c>
      <c r="O15" s="39">
        <f t="shared" si="5"/>
        <v>136.10318999999996</v>
      </c>
      <c r="P15" s="186">
        <v>5.0000000000000001E-3</v>
      </c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</row>
    <row r="16" spans="1:65" x14ac:dyDescent="0.3">
      <c r="A16" s="30">
        <f>IF(F16&lt;&gt;"",1+MAX($A$2:A15),"")</f>
        <v>5</v>
      </c>
      <c r="B16" s="40"/>
      <c r="C16" s="114" t="s">
        <v>51</v>
      </c>
      <c r="D16" s="33" t="s">
        <v>4</v>
      </c>
      <c r="E16" s="41">
        <v>1</v>
      </c>
      <c r="F16" s="42">
        <v>0</v>
      </c>
      <c r="G16" s="43">
        <f t="shared" si="0"/>
        <v>1</v>
      </c>
      <c r="H16" s="36">
        <f t="shared" si="6"/>
        <v>10.888255199999996</v>
      </c>
      <c r="I16" s="193">
        <v>50</v>
      </c>
      <c r="J16" s="37">
        <f t="shared" si="1"/>
        <v>544.41275999999982</v>
      </c>
      <c r="K16" s="44">
        <v>0</v>
      </c>
      <c r="L16" s="37">
        <f t="shared" si="2"/>
        <v>544.41275999999982</v>
      </c>
      <c r="M16" s="37">
        <f t="shared" si="3"/>
        <v>0</v>
      </c>
      <c r="N16" s="38">
        <f t="shared" si="4"/>
        <v>544.41275999999982</v>
      </c>
      <c r="O16" s="39">
        <f t="shared" si="5"/>
        <v>544.41275999999982</v>
      </c>
      <c r="P16" s="186">
        <v>0.02</v>
      </c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</row>
    <row r="17" spans="1:16" x14ac:dyDescent="0.3">
      <c r="A17" s="30">
        <f>IF(F17&lt;&gt;"",1+MAX($A$2:A16),"")</f>
        <v>6</v>
      </c>
      <c r="B17" s="40"/>
      <c r="C17" s="114" t="s">
        <v>52</v>
      </c>
      <c r="D17" s="33" t="s">
        <v>4</v>
      </c>
      <c r="E17" s="41">
        <v>1</v>
      </c>
      <c r="F17" s="42">
        <v>0</v>
      </c>
      <c r="G17" s="43">
        <f t="shared" si="0"/>
        <v>1</v>
      </c>
      <c r="H17" s="36">
        <f t="shared" si="6"/>
        <v>13.610318999999995</v>
      </c>
      <c r="I17" s="193">
        <v>50</v>
      </c>
      <c r="J17" s="37">
        <f t="shared" si="1"/>
        <v>680.51594999999975</v>
      </c>
      <c r="K17" s="44">
        <v>0</v>
      </c>
      <c r="L17" s="37">
        <f t="shared" si="2"/>
        <v>680.51594999999975</v>
      </c>
      <c r="M17" s="37">
        <f t="shared" si="3"/>
        <v>0</v>
      </c>
      <c r="N17" s="38">
        <f t="shared" si="4"/>
        <v>680.51594999999975</v>
      </c>
      <c r="O17" s="39">
        <f t="shared" si="5"/>
        <v>680.51594999999975</v>
      </c>
      <c r="P17" s="186">
        <v>2.5000000000000001E-2</v>
      </c>
    </row>
    <row r="18" spans="1:16" x14ac:dyDescent="0.3">
      <c r="A18" s="30">
        <f>IF(F18&lt;&gt;"",1+MAX($A$2:A17),"")</f>
        <v>7</v>
      </c>
      <c r="B18" s="40"/>
      <c r="C18" s="114" t="s">
        <v>53</v>
      </c>
      <c r="D18" s="33" t="s">
        <v>4</v>
      </c>
      <c r="E18" s="41">
        <v>1</v>
      </c>
      <c r="F18" s="42">
        <v>0</v>
      </c>
      <c r="G18" s="43">
        <f t="shared" si="0"/>
        <v>1</v>
      </c>
      <c r="H18" s="36">
        <f t="shared" si="6"/>
        <v>10.888255199999996</v>
      </c>
      <c r="I18" s="193">
        <v>50</v>
      </c>
      <c r="J18" s="37">
        <f t="shared" si="1"/>
        <v>544.41275999999982</v>
      </c>
      <c r="K18" s="44">
        <v>0</v>
      </c>
      <c r="L18" s="37">
        <f t="shared" si="2"/>
        <v>544.41275999999982</v>
      </c>
      <c r="M18" s="37">
        <f t="shared" si="3"/>
        <v>0</v>
      </c>
      <c r="N18" s="38">
        <f t="shared" si="4"/>
        <v>544.41275999999982</v>
      </c>
      <c r="O18" s="39">
        <f t="shared" si="5"/>
        <v>544.41275999999982</v>
      </c>
      <c r="P18" s="186">
        <v>0.02</v>
      </c>
    </row>
    <row r="19" spans="1:16" ht="18" customHeight="1" x14ac:dyDescent="0.3">
      <c r="A19" s="30" t="str">
        <f>IF(F19&lt;&gt;"",1+MAX($A$2:A18),"")</f>
        <v/>
      </c>
      <c r="B19" s="40"/>
      <c r="C19" s="114"/>
      <c r="D19" s="146"/>
      <c r="E19" s="41"/>
      <c r="F19" s="42"/>
      <c r="G19" s="43"/>
      <c r="H19" s="36"/>
      <c r="I19" s="193"/>
      <c r="J19" s="44"/>
      <c r="K19" s="44"/>
      <c r="L19" s="44"/>
      <c r="M19" s="44"/>
      <c r="N19" s="45"/>
      <c r="O19" s="47"/>
      <c r="P19" s="169"/>
    </row>
    <row r="20" spans="1:16" s="1" customFormat="1" x14ac:dyDescent="0.3">
      <c r="A20" s="165" t="str">
        <f>IF(F20&lt;&gt;"",1+MAX($A$2:A19),"")</f>
        <v/>
      </c>
      <c r="B20" s="48"/>
      <c r="C20" s="48"/>
      <c r="D20" s="48"/>
      <c r="E20" s="48"/>
      <c r="F20" s="48"/>
      <c r="G20" s="48"/>
      <c r="H20" s="48"/>
      <c r="I20" s="194"/>
      <c r="J20" s="49"/>
      <c r="K20" s="49"/>
      <c r="L20" s="51">
        <f>SUM(L12:L19)</f>
        <v>3266.4765599999987</v>
      </c>
      <c r="M20" s="51">
        <f>SUM(M12:M19)</f>
        <v>0</v>
      </c>
      <c r="N20" s="50" t="s">
        <v>22</v>
      </c>
      <c r="O20" s="51">
        <f>SUM(O12:O19)</f>
        <v>3266.4765599999987</v>
      </c>
      <c r="P20" s="170"/>
    </row>
    <row r="21" spans="1:16" x14ac:dyDescent="0.3">
      <c r="A21" s="129" t="str">
        <f>IF(F21&lt;&gt;"",1+MAX($A$2:A20),"")</f>
        <v/>
      </c>
      <c r="B21" s="127"/>
      <c r="C21" s="127"/>
      <c r="D21" s="127"/>
      <c r="E21" s="127"/>
      <c r="F21" s="127"/>
      <c r="G21" s="127"/>
      <c r="H21" s="127"/>
      <c r="I21" s="195"/>
      <c r="J21" s="52"/>
      <c r="K21" s="52"/>
      <c r="L21" s="52"/>
      <c r="M21" s="52"/>
      <c r="N21" s="128"/>
      <c r="O21" s="53"/>
    </row>
    <row r="22" spans="1:16" ht="17.5" x14ac:dyDescent="0.3">
      <c r="A22" s="166" t="str">
        <f>IF(F22&lt;&gt;"",1+MAX($A$2:A21),"")</f>
        <v/>
      </c>
      <c r="B22" s="55"/>
      <c r="C22" s="56"/>
      <c r="D22" s="57" t="s">
        <v>40</v>
      </c>
      <c r="E22" s="58"/>
      <c r="F22" s="58"/>
      <c r="G22" s="58"/>
      <c r="H22" s="58"/>
      <c r="I22" s="192"/>
      <c r="J22" s="58"/>
      <c r="K22" s="58"/>
      <c r="L22" s="58"/>
      <c r="M22" s="58"/>
      <c r="N22" s="59"/>
      <c r="O22" s="60"/>
    </row>
    <row r="23" spans="1:16" ht="18" customHeight="1" x14ac:dyDescent="0.3">
      <c r="A23" s="80" t="str">
        <f>IF(F23&lt;&gt;"",1+MAX($A$2:A22),"")</f>
        <v/>
      </c>
      <c r="B23" s="61"/>
      <c r="C23" s="62" t="s">
        <v>35</v>
      </c>
      <c r="D23" s="63"/>
      <c r="E23" s="41"/>
      <c r="F23" s="42"/>
      <c r="G23" s="43"/>
      <c r="H23" s="43"/>
      <c r="I23" s="196"/>
      <c r="J23" s="65"/>
      <c r="K23" s="65"/>
      <c r="L23" s="65"/>
      <c r="M23" s="65"/>
      <c r="N23" s="45"/>
      <c r="O23" s="46"/>
    </row>
    <row r="24" spans="1:16" ht="18" customHeight="1" x14ac:dyDescent="0.3">
      <c r="A24" s="73">
        <f>IF(F24&lt;&gt;"",1+MAX($A$2:A23),"")</f>
        <v>8</v>
      </c>
      <c r="B24" s="226" t="s">
        <v>123</v>
      </c>
      <c r="C24" s="114" t="s">
        <v>69</v>
      </c>
      <c r="D24" s="41" t="s">
        <v>7</v>
      </c>
      <c r="E24" s="41">
        <v>247</v>
      </c>
      <c r="F24" s="34">
        <v>0</v>
      </c>
      <c r="G24" s="35">
        <f t="shared" ref="G24" si="7">(F24*E24)+E24</f>
        <v>247</v>
      </c>
      <c r="H24" s="36">
        <v>8.5000000000000006E-2</v>
      </c>
      <c r="I24" s="193">
        <v>52</v>
      </c>
      <c r="J24" s="37">
        <f>H24*I24</f>
        <v>4.42</v>
      </c>
      <c r="K24" s="37">
        <v>0</v>
      </c>
      <c r="L24" s="37">
        <f t="shared" ref="L24:L31" si="8">J24*G24</f>
        <v>1091.74</v>
      </c>
      <c r="M24" s="37">
        <f t="shared" ref="M24:M31" si="9">K24*G24</f>
        <v>0</v>
      </c>
      <c r="N24" s="38">
        <f t="shared" ref="N24" si="10">J24+K24</f>
        <v>4.42</v>
      </c>
      <c r="O24" s="39">
        <f t="shared" ref="O24" si="11">G24*N24</f>
        <v>1091.74</v>
      </c>
    </row>
    <row r="25" spans="1:16" x14ac:dyDescent="0.3">
      <c r="A25" s="80">
        <f>IF(F25&lt;&gt;"",1+MAX($A$2:A24),"")</f>
        <v>9</v>
      </c>
      <c r="B25" s="227"/>
      <c r="C25" s="114" t="s">
        <v>70</v>
      </c>
      <c r="D25" s="41" t="s">
        <v>7</v>
      </c>
      <c r="E25" s="41">
        <v>277</v>
      </c>
      <c r="F25" s="34">
        <v>0</v>
      </c>
      <c r="G25" s="35">
        <f t="shared" ref="G25:G31" si="12">(F25*E25)+E25</f>
        <v>277</v>
      </c>
      <c r="H25" s="36">
        <v>3.7999999999999999E-2</v>
      </c>
      <c r="I25" s="193">
        <v>52</v>
      </c>
      <c r="J25" s="37">
        <f t="shared" ref="J25:J31" si="13">H25*I25</f>
        <v>1.976</v>
      </c>
      <c r="K25" s="37">
        <v>0</v>
      </c>
      <c r="L25" s="37">
        <f t="shared" si="8"/>
        <v>547.35199999999998</v>
      </c>
      <c r="M25" s="37">
        <f t="shared" si="9"/>
        <v>0</v>
      </c>
      <c r="N25" s="38">
        <f t="shared" ref="N25:N31" si="14">J25+K25</f>
        <v>1.976</v>
      </c>
      <c r="O25" s="39">
        <f t="shared" ref="O25:O31" si="15">G25*N25</f>
        <v>547.35199999999998</v>
      </c>
    </row>
    <row r="26" spans="1:16" x14ac:dyDescent="0.3">
      <c r="A26" s="80">
        <f>IF(F26&lt;&gt;"",1+MAX($A$2:A25),"")</f>
        <v>10</v>
      </c>
      <c r="B26" s="228"/>
      <c r="C26" s="114" t="s">
        <v>71</v>
      </c>
      <c r="D26" s="41" t="s">
        <v>36</v>
      </c>
      <c r="E26" s="41">
        <v>35</v>
      </c>
      <c r="F26" s="34">
        <v>0</v>
      </c>
      <c r="G26" s="35">
        <f t="shared" si="12"/>
        <v>35</v>
      </c>
      <c r="H26" s="36">
        <v>0.14499999999999999</v>
      </c>
      <c r="I26" s="193">
        <v>52</v>
      </c>
      <c r="J26" s="37">
        <f t="shared" si="13"/>
        <v>7.5399999999999991</v>
      </c>
      <c r="K26" s="37">
        <v>0</v>
      </c>
      <c r="L26" s="37">
        <f t="shared" si="8"/>
        <v>263.89999999999998</v>
      </c>
      <c r="M26" s="37">
        <f t="shared" si="9"/>
        <v>0</v>
      </c>
      <c r="N26" s="38">
        <f t="shared" si="14"/>
        <v>7.5399999999999991</v>
      </c>
      <c r="O26" s="39">
        <f t="shared" si="15"/>
        <v>263.89999999999998</v>
      </c>
    </row>
    <row r="27" spans="1:16" x14ac:dyDescent="0.3">
      <c r="A27" s="80" t="str">
        <f>IF(F27&lt;&gt;"",1+MAX($A$2:A26),"")</f>
        <v/>
      </c>
      <c r="B27" s="61"/>
      <c r="C27" s="179" t="s">
        <v>43</v>
      </c>
      <c r="D27" s="41"/>
      <c r="E27" s="41"/>
      <c r="F27" s="34"/>
      <c r="G27" s="35"/>
      <c r="H27" s="36"/>
      <c r="I27" s="193"/>
      <c r="J27" s="37"/>
      <c r="K27" s="37"/>
      <c r="L27" s="37"/>
      <c r="M27" s="37"/>
      <c r="N27" s="38"/>
      <c r="O27" s="39"/>
    </row>
    <row r="28" spans="1:16" ht="31" x14ac:dyDescent="0.3">
      <c r="A28" s="80">
        <f>IF(F28&lt;&gt;"",1+MAX($A$2:A27),"")</f>
        <v>11</v>
      </c>
      <c r="B28" s="229" t="s">
        <v>124</v>
      </c>
      <c r="C28" s="168" t="s">
        <v>72</v>
      </c>
      <c r="D28" s="41" t="s">
        <v>7</v>
      </c>
      <c r="E28" s="41">
        <v>176</v>
      </c>
      <c r="F28" s="34">
        <v>0</v>
      </c>
      <c r="G28" s="35">
        <f t="shared" si="12"/>
        <v>176</v>
      </c>
      <c r="H28" s="36">
        <v>9.5000000000000001E-2</v>
      </c>
      <c r="I28" s="193">
        <v>52</v>
      </c>
      <c r="J28" s="37">
        <f t="shared" si="13"/>
        <v>4.9400000000000004</v>
      </c>
      <c r="K28" s="37">
        <v>0</v>
      </c>
      <c r="L28" s="37">
        <f t="shared" si="8"/>
        <v>869.44</v>
      </c>
      <c r="M28" s="37">
        <f t="shared" si="9"/>
        <v>0</v>
      </c>
      <c r="N28" s="38">
        <f t="shared" si="14"/>
        <v>4.9400000000000004</v>
      </c>
      <c r="O28" s="39">
        <f t="shared" si="15"/>
        <v>869.44</v>
      </c>
    </row>
    <row r="29" spans="1:16" x14ac:dyDescent="0.3">
      <c r="A29" s="80">
        <f>IF(F29&lt;&gt;"",1+MAX($A$2:A28),"")</f>
        <v>12</v>
      </c>
      <c r="B29" s="230"/>
      <c r="C29" s="114" t="s">
        <v>73</v>
      </c>
      <c r="D29" s="41" t="s">
        <v>36</v>
      </c>
      <c r="E29" s="41">
        <v>18</v>
      </c>
      <c r="F29" s="34">
        <v>0</v>
      </c>
      <c r="G29" s="35">
        <f t="shared" si="12"/>
        <v>18</v>
      </c>
      <c r="H29" s="36">
        <v>0.54</v>
      </c>
      <c r="I29" s="193">
        <v>52</v>
      </c>
      <c r="J29" s="37">
        <f t="shared" si="13"/>
        <v>28.080000000000002</v>
      </c>
      <c r="K29" s="37">
        <v>0</v>
      </c>
      <c r="L29" s="37">
        <f t="shared" si="8"/>
        <v>505.44000000000005</v>
      </c>
      <c r="M29" s="37">
        <f t="shared" si="9"/>
        <v>0</v>
      </c>
      <c r="N29" s="38">
        <f t="shared" si="14"/>
        <v>28.080000000000002</v>
      </c>
      <c r="O29" s="39">
        <f t="shared" si="15"/>
        <v>505.44000000000005</v>
      </c>
    </row>
    <row r="30" spans="1:16" x14ac:dyDescent="0.3">
      <c r="A30" s="80">
        <f>IF(F30&lt;&gt;"",1+MAX($A$2:A29),"")</f>
        <v>13</v>
      </c>
      <c r="B30" s="230"/>
      <c r="C30" s="114" t="s">
        <v>74</v>
      </c>
      <c r="D30" s="41" t="s">
        <v>34</v>
      </c>
      <c r="E30" s="41">
        <v>1</v>
      </c>
      <c r="F30" s="34">
        <v>0</v>
      </c>
      <c r="G30" s="35">
        <f t="shared" si="12"/>
        <v>1</v>
      </c>
      <c r="H30" s="36">
        <v>0.42</v>
      </c>
      <c r="I30" s="193">
        <v>52</v>
      </c>
      <c r="J30" s="37">
        <f t="shared" si="13"/>
        <v>21.84</v>
      </c>
      <c r="K30" s="37">
        <v>0</v>
      </c>
      <c r="L30" s="37">
        <f t="shared" si="8"/>
        <v>21.84</v>
      </c>
      <c r="M30" s="37">
        <f t="shared" si="9"/>
        <v>0</v>
      </c>
      <c r="N30" s="38">
        <f t="shared" si="14"/>
        <v>21.84</v>
      </c>
      <c r="O30" s="39">
        <f t="shared" si="15"/>
        <v>21.84</v>
      </c>
    </row>
    <row r="31" spans="1:16" x14ac:dyDescent="0.3">
      <c r="A31" s="80">
        <f>IF(F31&lt;&gt;"",1+MAX($A$2:A30),"")</f>
        <v>14</v>
      </c>
      <c r="B31" s="231"/>
      <c r="C31" s="114" t="s">
        <v>75</v>
      </c>
      <c r="D31" s="41" t="s">
        <v>34</v>
      </c>
      <c r="E31" s="41">
        <v>1</v>
      </c>
      <c r="F31" s="34">
        <v>0</v>
      </c>
      <c r="G31" s="35">
        <f t="shared" si="12"/>
        <v>1</v>
      </c>
      <c r="H31" s="36">
        <v>0.45</v>
      </c>
      <c r="I31" s="193">
        <v>52</v>
      </c>
      <c r="J31" s="37">
        <f t="shared" si="13"/>
        <v>23.400000000000002</v>
      </c>
      <c r="K31" s="37">
        <v>0</v>
      </c>
      <c r="L31" s="37">
        <f t="shared" si="8"/>
        <v>23.400000000000002</v>
      </c>
      <c r="M31" s="37">
        <f t="shared" si="9"/>
        <v>0</v>
      </c>
      <c r="N31" s="38">
        <f t="shared" si="14"/>
        <v>23.400000000000002</v>
      </c>
      <c r="O31" s="39">
        <f t="shared" si="15"/>
        <v>23.400000000000002</v>
      </c>
    </row>
    <row r="32" spans="1:16" x14ac:dyDescent="0.3">
      <c r="A32" s="80" t="str">
        <f>IF(F32&lt;&gt;"",1+MAX($A$2:A31),"")</f>
        <v/>
      </c>
      <c r="B32" s="61"/>
      <c r="C32" s="32"/>
      <c r="D32" s="33"/>
      <c r="E32" s="33"/>
      <c r="F32" s="34"/>
      <c r="G32" s="35"/>
      <c r="H32" s="36"/>
      <c r="I32" s="193"/>
      <c r="J32" s="37"/>
      <c r="K32" s="37"/>
      <c r="L32" s="37"/>
      <c r="M32" s="37"/>
      <c r="N32" s="38"/>
      <c r="O32" s="39"/>
    </row>
    <row r="33" spans="1:16" s="1" customFormat="1" x14ac:dyDescent="0.3">
      <c r="A33" s="165" t="str">
        <f>IF(F33&lt;&gt;"",1+MAX($A$2:A32),"")</f>
        <v/>
      </c>
      <c r="B33" s="48"/>
      <c r="C33" s="48"/>
      <c r="D33" s="48"/>
      <c r="E33" s="48"/>
      <c r="F33" s="48"/>
      <c r="G33" s="48"/>
      <c r="H33" s="48"/>
      <c r="I33" s="194"/>
      <c r="J33" s="49"/>
      <c r="K33" s="49"/>
      <c r="L33" s="51">
        <f>SUM(L24:L32)</f>
        <v>3323.1120000000005</v>
      </c>
      <c r="M33" s="51">
        <f>SUM(M24:M32)</f>
        <v>0</v>
      </c>
      <c r="N33" s="50" t="s">
        <v>22</v>
      </c>
      <c r="O33" s="51">
        <f>SUM(O24:O32)</f>
        <v>3323.1120000000005</v>
      </c>
      <c r="P33" s="170"/>
    </row>
    <row r="34" spans="1:16" ht="18" customHeight="1" x14ac:dyDescent="0.3">
      <c r="A34" s="167" t="str">
        <f>IF(F34&lt;&gt;"",1+MAX($A$2:A33),"")</f>
        <v/>
      </c>
      <c r="B34" s="68"/>
      <c r="C34" s="68"/>
      <c r="D34" s="69"/>
      <c r="E34" s="130"/>
      <c r="F34" s="70"/>
      <c r="G34" s="130"/>
      <c r="H34" s="131"/>
      <c r="I34" s="197"/>
      <c r="J34" s="71"/>
      <c r="K34" s="71"/>
      <c r="L34" s="71"/>
      <c r="M34" s="71"/>
      <c r="N34" s="132"/>
      <c r="O34" s="72"/>
      <c r="P34" s="169"/>
    </row>
    <row r="35" spans="1:16" ht="17.5" x14ac:dyDescent="0.3">
      <c r="A35" s="166" t="str">
        <f>IF(F35&lt;&gt;"",1+MAX($A$2:A34),"")</f>
        <v/>
      </c>
      <c r="B35" s="55"/>
      <c r="C35" s="56"/>
      <c r="D35" s="57" t="s">
        <v>43</v>
      </c>
      <c r="E35" s="58"/>
      <c r="F35" s="58"/>
      <c r="G35" s="58"/>
      <c r="H35" s="58"/>
      <c r="I35" s="192"/>
      <c r="J35" s="58"/>
      <c r="K35" s="58"/>
      <c r="L35" s="58"/>
      <c r="M35" s="58"/>
      <c r="N35" s="59"/>
      <c r="O35" s="60"/>
      <c r="P35" s="169"/>
    </row>
    <row r="36" spans="1:16" ht="18" customHeight="1" x14ac:dyDescent="0.3">
      <c r="A36" s="41" t="str">
        <f>IF(F36&lt;&gt;"",1+MAX($A$2:A35),"")</f>
        <v/>
      </c>
      <c r="B36" s="74"/>
      <c r="C36" s="62" t="s">
        <v>43</v>
      </c>
      <c r="D36" s="63"/>
      <c r="E36" s="41"/>
      <c r="F36" s="66"/>
      <c r="G36" s="43"/>
      <c r="H36" s="43"/>
      <c r="I36" s="196"/>
      <c r="J36" s="65"/>
      <c r="K36" s="65"/>
      <c r="L36" s="65"/>
      <c r="M36" s="65"/>
      <c r="N36" s="45"/>
      <c r="O36" s="47"/>
      <c r="P36" s="169"/>
    </row>
    <row r="37" spans="1:16" x14ac:dyDescent="0.3">
      <c r="A37" s="41" t="str">
        <f>IF(F37&lt;&gt;"",1+MAX($A$2:A36),"")</f>
        <v/>
      </c>
      <c r="B37" s="232" t="s">
        <v>124</v>
      </c>
      <c r="C37" s="136" t="s">
        <v>76</v>
      </c>
      <c r="D37" s="41"/>
      <c r="E37" s="41"/>
      <c r="F37" s="42"/>
      <c r="G37" s="43"/>
      <c r="H37" s="44"/>
      <c r="I37" s="198"/>
      <c r="J37" s="75"/>
      <c r="K37" s="75"/>
      <c r="L37" s="75"/>
      <c r="M37" s="75"/>
      <c r="N37" s="45"/>
      <c r="O37" s="46"/>
      <c r="P37" s="169"/>
    </row>
    <row r="38" spans="1:16" x14ac:dyDescent="0.3">
      <c r="A38" s="41">
        <f>IF(F38&lt;&gt;"",1+MAX($A$2:A37),"")</f>
        <v>15</v>
      </c>
      <c r="B38" s="233"/>
      <c r="C38" s="114" t="s">
        <v>77</v>
      </c>
      <c r="D38" s="41" t="s">
        <v>36</v>
      </c>
      <c r="E38" s="41">
        <v>64</v>
      </c>
      <c r="F38" s="42">
        <v>0.1</v>
      </c>
      <c r="G38" s="43">
        <f t="shared" ref="G38" si="16">(F38*E38)+E38</f>
        <v>70.400000000000006</v>
      </c>
      <c r="H38" s="36">
        <v>0.17699999999999999</v>
      </c>
      <c r="I38" s="193">
        <v>72</v>
      </c>
      <c r="J38" s="44">
        <f>H38*I38</f>
        <v>12.744</v>
      </c>
      <c r="K38" s="44">
        <v>10.1</v>
      </c>
      <c r="L38" s="37">
        <f t="shared" ref="L38:L54" si="17">J38*G38</f>
        <v>897.1776000000001</v>
      </c>
      <c r="M38" s="37">
        <f t="shared" ref="M38:M54" si="18">K38*G38</f>
        <v>711.04000000000008</v>
      </c>
      <c r="N38" s="45">
        <f>+K38+J38</f>
        <v>22.844000000000001</v>
      </c>
      <c r="O38" s="47">
        <f t="shared" ref="O38" si="19">G38*N38</f>
        <v>1608.2176000000002</v>
      </c>
      <c r="P38" s="169"/>
    </row>
    <row r="39" spans="1:16" x14ac:dyDescent="0.3">
      <c r="A39" s="41" t="str">
        <f>IF(F39&lt;&gt;"",1+MAX($A$2:A38),"")</f>
        <v/>
      </c>
      <c r="B39" s="233"/>
      <c r="C39" s="136" t="s">
        <v>78</v>
      </c>
      <c r="D39" s="41"/>
      <c r="E39" s="41"/>
      <c r="F39" s="42"/>
      <c r="G39" s="43"/>
      <c r="H39" s="36"/>
      <c r="I39" s="193"/>
      <c r="J39" s="44"/>
      <c r="K39" s="44"/>
      <c r="L39" s="37"/>
      <c r="M39" s="37"/>
      <c r="N39" s="45"/>
      <c r="O39" s="47"/>
      <c r="P39" s="169"/>
    </row>
    <row r="40" spans="1:16" x14ac:dyDescent="0.3">
      <c r="A40" s="41">
        <f>IF(F40&lt;&gt;"",1+MAX($A$2:A39),"")</f>
        <v>16</v>
      </c>
      <c r="B40" s="233"/>
      <c r="C40" s="114" t="s">
        <v>79</v>
      </c>
      <c r="D40" s="41" t="s">
        <v>36</v>
      </c>
      <c r="E40" s="41">
        <v>40</v>
      </c>
      <c r="F40" s="42">
        <v>0.1</v>
      </c>
      <c r="G40" s="43">
        <f t="shared" ref="G40:G54" si="20">(F40*E40)+E40</f>
        <v>44</v>
      </c>
      <c r="H40" s="36">
        <v>0.13</v>
      </c>
      <c r="I40" s="193">
        <v>72</v>
      </c>
      <c r="J40" s="44">
        <f t="shared" ref="J40:J54" si="21">H40*I40</f>
        <v>9.36</v>
      </c>
      <c r="K40" s="44">
        <v>3.15</v>
      </c>
      <c r="L40" s="37">
        <f t="shared" si="17"/>
        <v>411.84</v>
      </c>
      <c r="M40" s="37">
        <f t="shared" si="18"/>
        <v>138.6</v>
      </c>
      <c r="N40" s="45">
        <f t="shared" ref="N40:N54" si="22">+K40+J40</f>
        <v>12.51</v>
      </c>
      <c r="O40" s="47">
        <f t="shared" ref="O40:O54" si="23">G40*N40</f>
        <v>550.43999999999994</v>
      </c>
      <c r="P40" s="169"/>
    </row>
    <row r="41" spans="1:16" x14ac:dyDescent="0.3">
      <c r="A41" s="41" t="str">
        <f>IF(F41&lt;&gt;"",1+MAX($A$2:A40),"")</f>
        <v/>
      </c>
      <c r="B41" s="233"/>
      <c r="C41" s="136" t="s">
        <v>80</v>
      </c>
      <c r="D41" s="41"/>
      <c r="E41" s="41"/>
      <c r="F41" s="42"/>
      <c r="G41" s="43"/>
      <c r="H41" s="36"/>
      <c r="I41" s="193"/>
      <c r="J41" s="44"/>
      <c r="K41" s="44"/>
      <c r="L41" s="37"/>
      <c r="M41" s="37"/>
      <c r="N41" s="45"/>
      <c r="O41" s="47"/>
      <c r="P41" s="169"/>
    </row>
    <row r="42" spans="1:16" x14ac:dyDescent="0.3">
      <c r="A42" s="41">
        <f>IF(F42&lt;&gt;"",1+MAX($A$2:A41),"")</f>
        <v>17</v>
      </c>
      <c r="B42" s="233"/>
      <c r="C42" s="114" t="s">
        <v>81</v>
      </c>
      <c r="D42" s="41" t="s">
        <v>36</v>
      </c>
      <c r="E42" s="41">
        <v>25</v>
      </c>
      <c r="F42" s="42">
        <v>0.1</v>
      </c>
      <c r="G42" s="43">
        <f t="shared" si="20"/>
        <v>27.5</v>
      </c>
      <c r="H42" s="36">
        <v>0.11600000000000001</v>
      </c>
      <c r="I42" s="193">
        <v>72</v>
      </c>
      <c r="J42" s="44">
        <f t="shared" si="21"/>
        <v>8.3520000000000003</v>
      </c>
      <c r="K42" s="44">
        <v>3.13</v>
      </c>
      <c r="L42" s="37">
        <f t="shared" si="17"/>
        <v>229.68</v>
      </c>
      <c r="M42" s="37">
        <f t="shared" si="18"/>
        <v>86.075000000000003</v>
      </c>
      <c r="N42" s="45">
        <f t="shared" si="22"/>
        <v>11.481999999999999</v>
      </c>
      <c r="O42" s="47">
        <f t="shared" si="23"/>
        <v>315.755</v>
      </c>
      <c r="P42" s="169"/>
    </row>
    <row r="43" spans="1:16" x14ac:dyDescent="0.3">
      <c r="A43" s="41">
        <f>IF(F43&lt;&gt;"",1+MAX($A$2:A42),"")</f>
        <v>18</v>
      </c>
      <c r="B43" s="233"/>
      <c r="C43" s="114" t="s">
        <v>82</v>
      </c>
      <c r="D43" s="41" t="s">
        <v>36</v>
      </c>
      <c r="E43" s="41">
        <v>29</v>
      </c>
      <c r="F43" s="42">
        <v>0.1</v>
      </c>
      <c r="G43" s="43">
        <f t="shared" si="20"/>
        <v>31.9</v>
      </c>
      <c r="H43" s="36">
        <v>0.216</v>
      </c>
      <c r="I43" s="193">
        <v>72</v>
      </c>
      <c r="J43" s="44">
        <f t="shared" si="21"/>
        <v>15.552</v>
      </c>
      <c r="K43" s="44">
        <v>29.8</v>
      </c>
      <c r="L43" s="37">
        <f t="shared" si="17"/>
        <v>496.10879999999997</v>
      </c>
      <c r="M43" s="37">
        <f t="shared" si="18"/>
        <v>950.62</v>
      </c>
      <c r="N43" s="45">
        <f t="shared" si="22"/>
        <v>45.352000000000004</v>
      </c>
      <c r="O43" s="47">
        <f t="shared" si="23"/>
        <v>1446.7288000000001</v>
      </c>
      <c r="P43" s="169"/>
    </row>
    <row r="44" spans="1:16" x14ac:dyDescent="0.3">
      <c r="A44" s="41" t="str">
        <f>IF(F44&lt;&gt;"",1+MAX($A$2:A43),"")</f>
        <v/>
      </c>
      <c r="B44" s="233"/>
      <c r="C44" s="136" t="s">
        <v>83</v>
      </c>
      <c r="D44" s="41"/>
      <c r="E44" s="41"/>
      <c r="F44" s="42"/>
      <c r="G44" s="43"/>
      <c r="H44" s="36"/>
      <c r="I44" s="193"/>
      <c r="J44" s="44"/>
      <c r="K44" s="44"/>
      <c r="L44" s="37"/>
      <c r="M44" s="37"/>
      <c r="N44" s="45"/>
      <c r="O44" s="47"/>
      <c r="P44" s="169"/>
    </row>
    <row r="45" spans="1:16" x14ac:dyDescent="0.3">
      <c r="A45" s="41">
        <f>IF(F45&lt;&gt;"",1+MAX($A$2:A44),"")</f>
        <v>19</v>
      </c>
      <c r="B45" s="233"/>
      <c r="C45" s="114" t="s">
        <v>84</v>
      </c>
      <c r="D45" s="41" t="s">
        <v>36</v>
      </c>
      <c r="E45" s="41">
        <v>19</v>
      </c>
      <c r="F45" s="42">
        <v>0.1</v>
      </c>
      <c r="G45" s="43">
        <f t="shared" si="20"/>
        <v>20.9</v>
      </c>
      <c r="H45" s="36">
        <v>0.11600000000000001</v>
      </c>
      <c r="I45" s="193">
        <v>72</v>
      </c>
      <c r="J45" s="44">
        <f t="shared" ref="J45" si="24">H45*I45</f>
        <v>8.3520000000000003</v>
      </c>
      <c r="K45" s="44">
        <v>3.13</v>
      </c>
      <c r="L45" s="37">
        <f t="shared" si="17"/>
        <v>174.55679999999998</v>
      </c>
      <c r="M45" s="37">
        <f t="shared" si="18"/>
        <v>65.416999999999987</v>
      </c>
      <c r="N45" s="45">
        <f t="shared" si="22"/>
        <v>11.481999999999999</v>
      </c>
      <c r="O45" s="47">
        <f t="shared" si="23"/>
        <v>239.97379999999998</v>
      </c>
      <c r="P45" s="169"/>
    </row>
    <row r="46" spans="1:16" x14ac:dyDescent="0.3">
      <c r="A46" s="41" t="str">
        <f>IF(F46&lt;&gt;"",1+MAX($A$2:A45),"")</f>
        <v/>
      </c>
      <c r="B46" s="233"/>
      <c r="C46" s="62" t="s">
        <v>44</v>
      </c>
      <c r="D46" s="63"/>
      <c r="E46" s="41"/>
      <c r="F46" s="42"/>
      <c r="G46" s="43"/>
      <c r="H46" s="36"/>
      <c r="I46" s="193"/>
      <c r="J46" s="44"/>
      <c r="K46" s="44"/>
      <c r="L46" s="37"/>
      <c r="M46" s="37"/>
      <c r="N46" s="45"/>
      <c r="O46" s="47"/>
      <c r="P46" s="169"/>
    </row>
    <row r="47" spans="1:16" ht="170.5" x14ac:dyDescent="0.3">
      <c r="A47" s="41">
        <f>IF(F47&lt;&gt;"",1+MAX($A$2:A46),"")</f>
        <v>20</v>
      </c>
      <c r="B47" s="233"/>
      <c r="C47" s="168" t="s">
        <v>85</v>
      </c>
      <c r="D47" s="41" t="s">
        <v>34</v>
      </c>
      <c r="E47" s="41">
        <v>1</v>
      </c>
      <c r="F47" s="42">
        <v>0</v>
      </c>
      <c r="G47" s="43">
        <f t="shared" si="20"/>
        <v>1</v>
      </c>
      <c r="H47" s="36">
        <v>3.524</v>
      </c>
      <c r="I47" s="193">
        <v>72</v>
      </c>
      <c r="J47" s="44">
        <f t="shared" si="21"/>
        <v>253.72800000000001</v>
      </c>
      <c r="K47" s="44">
        <v>504.81152000000003</v>
      </c>
      <c r="L47" s="37">
        <f t="shared" si="17"/>
        <v>253.72800000000001</v>
      </c>
      <c r="M47" s="37">
        <f t="shared" si="18"/>
        <v>504.81152000000003</v>
      </c>
      <c r="N47" s="45">
        <f t="shared" si="22"/>
        <v>758.53952000000004</v>
      </c>
      <c r="O47" s="47">
        <f t="shared" si="23"/>
        <v>758.53952000000004</v>
      </c>
      <c r="P47" s="169"/>
    </row>
    <row r="48" spans="1:16" ht="201.5" x14ac:dyDescent="0.3">
      <c r="A48" s="41">
        <f>IF(F48&lt;&gt;"",1+MAX($A$2:A47),"")</f>
        <v>21</v>
      </c>
      <c r="B48" s="233"/>
      <c r="C48" s="168" t="s">
        <v>86</v>
      </c>
      <c r="D48" s="41" t="s">
        <v>34</v>
      </c>
      <c r="E48" s="41">
        <v>1</v>
      </c>
      <c r="F48" s="42">
        <v>0</v>
      </c>
      <c r="G48" s="43">
        <f t="shared" si="20"/>
        <v>1</v>
      </c>
      <c r="H48" s="36">
        <v>3.4209999999999998</v>
      </c>
      <c r="I48" s="193">
        <v>72</v>
      </c>
      <c r="J48" s="44">
        <f t="shared" si="21"/>
        <v>246.31199999999998</v>
      </c>
      <c r="K48" s="44">
        <v>441.71008</v>
      </c>
      <c r="L48" s="37">
        <f t="shared" si="17"/>
        <v>246.31199999999998</v>
      </c>
      <c r="M48" s="37">
        <f t="shared" si="18"/>
        <v>441.71008</v>
      </c>
      <c r="N48" s="45">
        <f t="shared" si="22"/>
        <v>688.02207999999996</v>
      </c>
      <c r="O48" s="47">
        <f t="shared" si="23"/>
        <v>688.02207999999996</v>
      </c>
      <c r="P48" s="169"/>
    </row>
    <row r="49" spans="1:16" ht="310" x14ac:dyDescent="0.3">
      <c r="A49" s="41">
        <f>IF(F49&lt;&gt;"",1+MAX($A$2:A48),"")</f>
        <v>22</v>
      </c>
      <c r="B49" s="233"/>
      <c r="C49" s="168" t="s">
        <v>87</v>
      </c>
      <c r="D49" s="41" t="s">
        <v>34</v>
      </c>
      <c r="E49" s="41">
        <v>1</v>
      </c>
      <c r="F49" s="42">
        <v>0</v>
      </c>
      <c r="G49" s="43">
        <f t="shared" si="20"/>
        <v>1</v>
      </c>
      <c r="H49" s="36">
        <v>3.4409999999999998</v>
      </c>
      <c r="I49" s="193">
        <v>72</v>
      </c>
      <c r="J49" s="44">
        <f t="shared" si="21"/>
        <v>247.75199999999998</v>
      </c>
      <c r="K49" s="44">
        <v>457.48544000000004</v>
      </c>
      <c r="L49" s="37">
        <f t="shared" si="17"/>
        <v>247.75199999999998</v>
      </c>
      <c r="M49" s="37">
        <f t="shared" si="18"/>
        <v>457.48544000000004</v>
      </c>
      <c r="N49" s="45">
        <f t="shared" si="22"/>
        <v>705.23743999999999</v>
      </c>
      <c r="O49" s="47">
        <f t="shared" si="23"/>
        <v>705.23743999999999</v>
      </c>
      <c r="P49" s="169"/>
    </row>
    <row r="50" spans="1:16" ht="139.5" x14ac:dyDescent="0.3">
      <c r="A50" s="41">
        <f>IF(F50&lt;&gt;"",1+MAX($A$2:A49),"")</f>
        <v>23</v>
      </c>
      <c r="B50" s="233"/>
      <c r="C50" s="168" t="s">
        <v>88</v>
      </c>
      <c r="D50" s="41" t="s">
        <v>34</v>
      </c>
      <c r="E50" s="41">
        <v>1</v>
      </c>
      <c r="F50" s="42">
        <v>0</v>
      </c>
      <c r="G50" s="43">
        <f t="shared" si="20"/>
        <v>1</v>
      </c>
      <c r="H50" s="36">
        <v>3.524</v>
      </c>
      <c r="I50" s="193">
        <v>72</v>
      </c>
      <c r="J50" s="44">
        <f t="shared" si="21"/>
        <v>253.72800000000001</v>
      </c>
      <c r="K50" s="44">
        <v>567.91296</v>
      </c>
      <c r="L50" s="37">
        <f t="shared" si="17"/>
        <v>253.72800000000001</v>
      </c>
      <c r="M50" s="37">
        <f t="shared" si="18"/>
        <v>567.91296</v>
      </c>
      <c r="N50" s="45">
        <f t="shared" si="22"/>
        <v>821.64095999999995</v>
      </c>
      <c r="O50" s="47">
        <f t="shared" si="23"/>
        <v>821.64095999999995</v>
      </c>
      <c r="P50" s="169"/>
    </row>
    <row r="51" spans="1:16" ht="124" x14ac:dyDescent="0.3">
      <c r="A51" s="41">
        <f>IF(F51&lt;&gt;"",1+MAX($A$2:A50),"")</f>
        <v>24</v>
      </c>
      <c r="B51" s="233"/>
      <c r="C51" s="168" t="s">
        <v>89</v>
      </c>
      <c r="D51" s="41" t="s">
        <v>34</v>
      </c>
      <c r="E51" s="41">
        <v>2</v>
      </c>
      <c r="F51" s="42">
        <v>0</v>
      </c>
      <c r="G51" s="43">
        <f t="shared" si="20"/>
        <v>2</v>
      </c>
      <c r="H51" s="36">
        <v>2.8740000000000001</v>
      </c>
      <c r="I51" s="193">
        <v>72</v>
      </c>
      <c r="J51" s="44">
        <f t="shared" si="21"/>
        <v>206.928</v>
      </c>
      <c r="K51" s="44">
        <v>236.63040000000001</v>
      </c>
      <c r="L51" s="37">
        <f t="shared" si="17"/>
        <v>413.85599999999999</v>
      </c>
      <c r="M51" s="37">
        <f t="shared" si="18"/>
        <v>473.26080000000002</v>
      </c>
      <c r="N51" s="45">
        <f t="shared" si="22"/>
        <v>443.55840000000001</v>
      </c>
      <c r="O51" s="47">
        <f t="shared" si="23"/>
        <v>887.11680000000001</v>
      </c>
      <c r="P51" s="169"/>
    </row>
    <row r="52" spans="1:16" ht="46.5" x14ac:dyDescent="0.3">
      <c r="A52" s="41">
        <f>IF(F52&lt;&gt;"",1+MAX($A$2:A51),"")</f>
        <v>25</v>
      </c>
      <c r="B52" s="233"/>
      <c r="C52" s="168" t="s">
        <v>90</v>
      </c>
      <c r="D52" s="41" t="s">
        <v>34</v>
      </c>
      <c r="E52" s="41">
        <v>1</v>
      </c>
      <c r="F52" s="42">
        <v>0</v>
      </c>
      <c r="G52" s="43">
        <f t="shared" si="20"/>
        <v>1</v>
      </c>
      <c r="H52" s="36">
        <v>3.8740000000000001</v>
      </c>
      <c r="I52" s="193">
        <v>72</v>
      </c>
      <c r="J52" s="44">
        <f t="shared" si="21"/>
        <v>278.928</v>
      </c>
      <c r="K52" s="44">
        <v>662.56511999999998</v>
      </c>
      <c r="L52" s="37">
        <f t="shared" si="17"/>
        <v>278.928</v>
      </c>
      <c r="M52" s="37">
        <f t="shared" si="18"/>
        <v>662.56511999999998</v>
      </c>
      <c r="N52" s="45">
        <f t="shared" si="22"/>
        <v>941.49311999999998</v>
      </c>
      <c r="O52" s="47">
        <f t="shared" si="23"/>
        <v>941.49311999999998</v>
      </c>
      <c r="P52" s="169"/>
    </row>
    <row r="53" spans="1:16" ht="108.5" x14ac:dyDescent="0.3">
      <c r="A53" s="41">
        <f>IF(F53&lt;&gt;"",1+MAX($A$2:A52),"")</f>
        <v>26</v>
      </c>
      <c r="B53" s="233"/>
      <c r="C53" s="168" t="s">
        <v>91</v>
      </c>
      <c r="D53" s="41" t="s">
        <v>34</v>
      </c>
      <c r="E53" s="41">
        <v>1</v>
      </c>
      <c r="F53" s="42">
        <v>0</v>
      </c>
      <c r="G53" s="43">
        <f t="shared" si="20"/>
        <v>1</v>
      </c>
      <c r="H53" s="36">
        <v>1.214</v>
      </c>
      <c r="I53" s="193">
        <v>72</v>
      </c>
      <c r="J53" s="44">
        <f t="shared" si="21"/>
        <v>87.408000000000001</v>
      </c>
      <c r="K53" s="44">
        <v>149.86592000000002</v>
      </c>
      <c r="L53" s="37">
        <f t="shared" si="17"/>
        <v>87.408000000000001</v>
      </c>
      <c r="M53" s="37">
        <f t="shared" si="18"/>
        <v>149.86592000000002</v>
      </c>
      <c r="N53" s="45">
        <f t="shared" si="22"/>
        <v>237.27392000000003</v>
      </c>
      <c r="O53" s="47">
        <f t="shared" si="23"/>
        <v>237.27392000000003</v>
      </c>
      <c r="P53" s="169"/>
    </row>
    <row r="54" spans="1:16" x14ac:dyDescent="0.3">
      <c r="A54" s="41">
        <f>IF(F54&lt;&gt;"",1+MAX($A$2:A53),"")</f>
        <v>27</v>
      </c>
      <c r="B54" s="234"/>
      <c r="C54" s="114" t="s">
        <v>92</v>
      </c>
      <c r="D54" s="41" t="s">
        <v>34</v>
      </c>
      <c r="E54" s="41">
        <v>1</v>
      </c>
      <c r="F54" s="42">
        <v>0</v>
      </c>
      <c r="G54" s="43">
        <f t="shared" si="20"/>
        <v>1</v>
      </c>
      <c r="H54" s="36">
        <v>1.325</v>
      </c>
      <c r="I54" s="193">
        <v>72</v>
      </c>
      <c r="J54" s="44">
        <f t="shared" si="21"/>
        <v>95.399999999999991</v>
      </c>
      <c r="K54" s="44">
        <v>173.52895999999998</v>
      </c>
      <c r="L54" s="37">
        <f t="shared" si="17"/>
        <v>95.399999999999991</v>
      </c>
      <c r="M54" s="37">
        <f t="shared" si="18"/>
        <v>173.52895999999998</v>
      </c>
      <c r="N54" s="45">
        <f t="shared" si="22"/>
        <v>268.92895999999996</v>
      </c>
      <c r="O54" s="47">
        <f t="shared" si="23"/>
        <v>268.92895999999996</v>
      </c>
      <c r="P54" s="169"/>
    </row>
    <row r="55" spans="1:16" x14ac:dyDescent="0.3">
      <c r="A55" s="73" t="str">
        <f>IF(F55&lt;&gt;"",1+MAX($A$2:A54),"")</f>
        <v/>
      </c>
      <c r="B55" s="73"/>
      <c r="C55" s="32"/>
      <c r="D55" s="76"/>
      <c r="E55" s="43"/>
      <c r="F55" s="42"/>
      <c r="G55" s="43"/>
      <c r="H55" s="36"/>
      <c r="I55" s="193"/>
      <c r="J55" s="75"/>
      <c r="K55" s="75"/>
      <c r="L55" s="75"/>
      <c r="M55" s="75"/>
      <c r="N55" s="45"/>
      <c r="O55" s="46"/>
      <c r="P55" s="169"/>
    </row>
    <row r="56" spans="1:16" x14ac:dyDescent="0.3">
      <c r="A56" s="165" t="str">
        <f>IF(F56&lt;&gt;"",1+MAX($A$2:A55),"")</f>
        <v/>
      </c>
      <c r="B56" s="48"/>
      <c r="C56" s="48"/>
      <c r="D56" s="48"/>
      <c r="E56" s="48"/>
      <c r="F56" s="48"/>
      <c r="G56" s="48"/>
      <c r="H56" s="48"/>
      <c r="I56" s="194"/>
      <c r="J56" s="49"/>
      <c r="K56" s="49"/>
      <c r="L56" s="51">
        <f>SUM(L36:L55)</f>
        <v>4086.4751999999999</v>
      </c>
      <c r="M56" s="51">
        <f>SUM(M36:M55)</f>
        <v>5382.8928000000005</v>
      </c>
      <c r="N56" s="50" t="s">
        <v>22</v>
      </c>
      <c r="O56" s="51">
        <f>SUM(O36:O55)</f>
        <v>9469.3679999999986</v>
      </c>
      <c r="P56" s="169"/>
    </row>
    <row r="57" spans="1:16" x14ac:dyDescent="0.3">
      <c r="A57" s="167" t="str">
        <f>IF(F57&lt;&gt;"",1+MAX($A$2:A56),"")</f>
        <v/>
      </c>
      <c r="B57" s="68"/>
      <c r="C57" s="68"/>
      <c r="D57" s="69"/>
      <c r="E57" s="130"/>
      <c r="F57" s="70"/>
      <c r="G57" s="130"/>
      <c r="H57" s="131"/>
      <c r="I57" s="197"/>
      <c r="J57" s="71"/>
      <c r="K57" s="71"/>
      <c r="L57" s="71"/>
      <c r="M57" s="71"/>
      <c r="N57" s="132"/>
      <c r="O57" s="72"/>
      <c r="P57" s="169"/>
    </row>
    <row r="58" spans="1:16" ht="17.5" x14ac:dyDescent="0.3">
      <c r="A58" s="166" t="str">
        <f>IF(F58&lt;&gt;"",1+MAX($A$2:A57),"")</f>
        <v/>
      </c>
      <c r="B58" s="55"/>
      <c r="C58" s="56"/>
      <c r="D58" s="57" t="s">
        <v>60</v>
      </c>
      <c r="E58" s="58"/>
      <c r="F58" s="58"/>
      <c r="G58" s="58"/>
      <c r="H58" s="58"/>
      <c r="I58" s="192"/>
      <c r="J58" s="58"/>
      <c r="K58" s="58"/>
      <c r="L58" s="58"/>
      <c r="M58" s="58"/>
      <c r="N58" s="59"/>
      <c r="O58" s="60"/>
      <c r="P58" s="169"/>
    </row>
    <row r="59" spans="1:16" ht="18" customHeight="1" x14ac:dyDescent="0.3">
      <c r="A59" s="41" t="str">
        <f>IF(F59&lt;&gt;"",1+MAX($A$2:A58),"")</f>
        <v/>
      </c>
      <c r="B59" s="74"/>
      <c r="C59" s="62" t="s">
        <v>93</v>
      </c>
      <c r="D59" s="63"/>
      <c r="E59" s="41"/>
      <c r="F59" s="66"/>
      <c r="G59" s="43"/>
      <c r="H59" s="43"/>
      <c r="I59" s="196"/>
      <c r="J59" s="65"/>
      <c r="K59" s="65"/>
      <c r="L59" s="65"/>
      <c r="M59" s="65"/>
      <c r="N59" s="45"/>
      <c r="O59" s="47"/>
      <c r="P59" s="169"/>
    </row>
    <row r="60" spans="1:16" x14ac:dyDescent="0.3">
      <c r="A60" s="73" t="str">
        <f>IF(F60&lt;&gt;"",1+MAX($A$2:A59),"")</f>
        <v/>
      </c>
      <c r="B60" s="180" t="s">
        <v>124</v>
      </c>
      <c r="C60" s="136" t="s">
        <v>94</v>
      </c>
      <c r="D60" s="41"/>
      <c r="E60" s="41"/>
      <c r="F60" s="42"/>
      <c r="G60" s="43"/>
      <c r="H60" s="44"/>
      <c r="I60" s="198"/>
      <c r="J60" s="75"/>
      <c r="K60" s="44"/>
      <c r="L60" s="44"/>
      <c r="M60" s="44"/>
      <c r="N60" s="45"/>
      <c r="O60" s="47"/>
      <c r="P60" s="169"/>
    </row>
    <row r="61" spans="1:16" x14ac:dyDescent="0.3">
      <c r="A61" s="41">
        <f>IF(F61&lt;&gt;"",1+MAX($A$2:A60),"")</f>
        <v>28</v>
      </c>
      <c r="B61" s="181"/>
      <c r="C61" s="114" t="s">
        <v>95</v>
      </c>
      <c r="D61" s="41" t="s">
        <v>36</v>
      </c>
      <c r="E61" s="41">
        <v>10</v>
      </c>
      <c r="F61" s="42">
        <v>0.1</v>
      </c>
      <c r="G61" s="43">
        <f t="shared" ref="G61" si="25">(F61*E61)+E61</f>
        <v>11</v>
      </c>
      <c r="H61" s="36">
        <v>0.37680000000000002</v>
      </c>
      <c r="I61" s="193">
        <v>70</v>
      </c>
      <c r="J61" s="75">
        <f t="shared" ref="J61" si="26">H61*I61</f>
        <v>26.376000000000001</v>
      </c>
      <c r="K61" s="75">
        <v>12.06</v>
      </c>
      <c r="L61" s="37">
        <f t="shared" ref="L61:L76" si="27">J61*G61</f>
        <v>290.13600000000002</v>
      </c>
      <c r="M61" s="37">
        <f t="shared" ref="M61:M76" si="28">K61*G61</f>
        <v>132.66</v>
      </c>
      <c r="N61" s="45">
        <f t="shared" ref="N61" si="29">+K61+J61</f>
        <v>38.436</v>
      </c>
      <c r="O61" s="46">
        <f t="shared" ref="O61" si="30">G61*N61</f>
        <v>422.79599999999999</v>
      </c>
      <c r="P61" s="169"/>
    </row>
    <row r="62" spans="1:16" x14ac:dyDescent="0.3">
      <c r="A62" s="41" t="str">
        <f>IF(F62&lt;&gt;"",1+MAX($A$2:A61),"")</f>
        <v/>
      </c>
      <c r="B62" s="181"/>
      <c r="C62" s="136" t="s">
        <v>96</v>
      </c>
      <c r="D62" s="41"/>
      <c r="E62" s="41"/>
      <c r="F62" s="42"/>
      <c r="G62" s="43"/>
      <c r="H62" s="36"/>
      <c r="I62" s="193"/>
      <c r="J62" s="75"/>
      <c r="K62" s="75"/>
      <c r="L62" s="37"/>
      <c r="M62" s="37"/>
      <c r="N62" s="45"/>
      <c r="O62" s="46"/>
      <c r="P62" s="169"/>
    </row>
    <row r="63" spans="1:16" x14ac:dyDescent="0.3">
      <c r="A63" s="41">
        <f>IF(F63&lt;&gt;"",1+MAX($A$2:A62),"")</f>
        <v>29</v>
      </c>
      <c r="B63" s="181"/>
      <c r="C63" s="114" t="s">
        <v>97</v>
      </c>
      <c r="D63" s="41" t="s">
        <v>36</v>
      </c>
      <c r="E63" s="41">
        <v>15</v>
      </c>
      <c r="F63" s="42">
        <v>0.1</v>
      </c>
      <c r="G63" s="43">
        <f t="shared" ref="G63:G76" si="31">(F63*E63)+E63</f>
        <v>16.5</v>
      </c>
      <c r="H63" s="36">
        <v>0.11600000000000001</v>
      </c>
      <c r="I63" s="193">
        <v>70</v>
      </c>
      <c r="J63" s="75">
        <f t="shared" ref="J63:J76" si="32">H63*I63</f>
        <v>8.120000000000001</v>
      </c>
      <c r="K63" s="75">
        <v>3.13</v>
      </c>
      <c r="L63" s="37">
        <f t="shared" si="27"/>
        <v>133.98000000000002</v>
      </c>
      <c r="M63" s="37">
        <f t="shared" si="28"/>
        <v>51.644999999999996</v>
      </c>
      <c r="N63" s="45">
        <f t="shared" ref="N63:N76" si="33">+K63+J63</f>
        <v>11.25</v>
      </c>
      <c r="O63" s="46">
        <f t="shared" ref="O63:O76" si="34">G63*N63</f>
        <v>185.625</v>
      </c>
      <c r="P63" s="169"/>
    </row>
    <row r="64" spans="1:16" x14ac:dyDescent="0.3">
      <c r="A64" s="41" t="str">
        <f>IF(F64&lt;&gt;"",1+MAX($A$2:A63),"")</f>
        <v/>
      </c>
      <c r="B64" s="181"/>
      <c r="C64" s="136" t="s">
        <v>98</v>
      </c>
      <c r="D64" s="41"/>
      <c r="E64" s="41"/>
      <c r="F64" s="42"/>
      <c r="G64" s="43"/>
      <c r="H64" s="36"/>
      <c r="I64" s="193"/>
      <c r="J64" s="75"/>
      <c r="K64" s="75"/>
      <c r="L64" s="37"/>
      <c r="M64" s="37"/>
      <c r="N64" s="45"/>
      <c r="O64" s="46"/>
      <c r="P64" s="169"/>
    </row>
    <row r="65" spans="1:16" x14ac:dyDescent="0.3">
      <c r="A65" s="41">
        <f>IF(F65&lt;&gt;"",1+MAX($A$2:A64),"")</f>
        <v>30</v>
      </c>
      <c r="B65" s="181"/>
      <c r="C65" s="114" t="s">
        <v>98</v>
      </c>
      <c r="D65" s="41" t="s">
        <v>36</v>
      </c>
      <c r="E65" s="41">
        <v>24</v>
      </c>
      <c r="F65" s="42">
        <v>0.1</v>
      </c>
      <c r="G65" s="43">
        <f t="shared" si="31"/>
        <v>26.4</v>
      </c>
      <c r="H65" s="36">
        <v>0.11600000000000001</v>
      </c>
      <c r="I65" s="193">
        <v>70</v>
      </c>
      <c r="J65" s="75">
        <f t="shared" ref="J65" si="35">H65*I65</f>
        <v>8.120000000000001</v>
      </c>
      <c r="K65" s="75">
        <v>3.13</v>
      </c>
      <c r="L65" s="37">
        <f t="shared" si="27"/>
        <v>214.36800000000002</v>
      </c>
      <c r="M65" s="37">
        <f t="shared" si="28"/>
        <v>82.631999999999991</v>
      </c>
      <c r="N65" s="45">
        <f t="shared" si="33"/>
        <v>11.25</v>
      </c>
      <c r="O65" s="46">
        <f t="shared" si="34"/>
        <v>297</v>
      </c>
      <c r="P65" s="169"/>
    </row>
    <row r="66" spans="1:16" x14ac:dyDescent="0.3">
      <c r="A66" s="41" t="str">
        <f>IF(F66&lt;&gt;"",1+MAX($A$2:A65),"")</f>
        <v/>
      </c>
      <c r="B66" s="181"/>
      <c r="C66" s="136" t="s">
        <v>99</v>
      </c>
      <c r="D66" s="41"/>
      <c r="E66" s="41"/>
      <c r="F66" s="42"/>
      <c r="G66" s="43"/>
      <c r="H66" s="36"/>
      <c r="I66" s="193"/>
      <c r="J66" s="75"/>
      <c r="K66" s="75"/>
      <c r="L66" s="37"/>
      <c r="M66" s="37"/>
      <c r="N66" s="45"/>
      <c r="O66" s="46"/>
      <c r="P66" s="169"/>
    </row>
    <row r="67" spans="1:16" ht="62" x14ac:dyDescent="0.3">
      <c r="A67" s="41">
        <f>IF(F67&lt;&gt;"",1+MAX($A$2:A66),"")</f>
        <v>31</v>
      </c>
      <c r="B67" s="181"/>
      <c r="C67" s="168" t="s">
        <v>100</v>
      </c>
      <c r="D67" s="41" t="s">
        <v>34</v>
      </c>
      <c r="E67" s="41">
        <v>1</v>
      </c>
      <c r="F67" s="42">
        <v>0</v>
      </c>
      <c r="G67" s="43">
        <f t="shared" si="31"/>
        <v>1</v>
      </c>
      <c r="H67" s="36">
        <v>4.8570000000000002</v>
      </c>
      <c r="I67" s="193">
        <v>70</v>
      </c>
      <c r="J67" s="75">
        <f t="shared" si="32"/>
        <v>339.99</v>
      </c>
      <c r="K67" s="75">
        <v>1483.35</v>
      </c>
      <c r="L67" s="37">
        <f t="shared" si="27"/>
        <v>339.99</v>
      </c>
      <c r="M67" s="37">
        <f t="shared" si="28"/>
        <v>1483.35</v>
      </c>
      <c r="N67" s="45">
        <f t="shared" si="33"/>
        <v>1823.34</v>
      </c>
      <c r="O67" s="46">
        <f t="shared" si="34"/>
        <v>1823.34</v>
      </c>
      <c r="P67" s="169"/>
    </row>
    <row r="68" spans="1:16" x14ac:dyDescent="0.3">
      <c r="A68" s="41" t="str">
        <f>IF(F68&lt;&gt;"",1+MAX($A$2:A67),"")</f>
        <v/>
      </c>
      <c r="B68" s="181"/>
      <c r="C68" s="136" t="s">
        <v>101</v>
      </c>
      <c r="D68" s="41"/>
      <c r="E68" s="41"/>
      <c r="F68" s="42"/>
      <c r="G68" s="43"/>
      <c r="H68" s="36"/>
      <c r="I68" s="193"/>
      <c r="J68" s="75"/>
      <c r="K68" s="75"/>
      <c r="L68" s="37"/>
      <c r="M68" s="37"/>
      <c r="N68" s="45"/>
      <c r="O68" s="46"/>
      <c r="P68" s="169"/>
    </row>
    <row r="69" spans="1:16" ht="46.5" x14ac:dyDescent="0.3">
      <c r="A69" s="41">
        <f>IF(F69&lt;&gt;"",1+MAX($A$2:A68),"")</f>
        <v>32</v>
      </c>
      <c r="B69" s="181"/>
      <c r="C69" s="168" t="s">
        <v>102</v>
      </c>
      <c r="D69" s="41" t="s">
        <v>34</v>
      </c>
      <c r="E69" s="41">
        <v>1</v>
      </c>
      <c r="F69" s="42">
        <v>0</v>
      </c>
      <c r="G69" s="43">
        <f t="shared" si="31"/>
        <v>1</v>
      </c>
      <c r="H69" s="36">
        <v>4.5869999999999997</v>
      </c>
      <c r="I69" s="193">
        <v>70</v>
      </c>
      <c r="J69" s="75">
        <f t="shared" si="32"/>
        <v>321.08999999999997</v>
      </c>
      <c r="K69" s="75">
        <v>1125.3</v>
      </c>
      <c r="L69" s="37">
        <f t="shared" si="27"/>
        <v>321.08999999999997</v>
      </c>
      <c r="M69" s="37">
        <f t="shared" si="28"/>
        <v>1125.3</v>
      </c>
      <c r="N69" s="45">
        <f t="shared" si="33"/>
        <v>1446.3899999999999</v>
      </c>
      <c r="O69" s="46">
        <f t="shared" si="34"/>
        <v>1446.3899999999999</v>
      </c>
      <c r="P69" s="169"/>
    </row>
    <row r="70" spans="1:16" x14ac:dyDescent="0.3">
      <c r="A70" s="41" t="str">
        <f>IF(F70&lt;&gt;"",1+MAX($A$2:A69),"")</f>
        <v/>
      </c>
      <c r="B70" s="181"/>
      <c r="C70" s="136" t="s">
        <v>103</v>
      </c>
      <c r="D70" s="41"/>
      <c r="E70" s="41"/>
      <c r="F70" s="42"/>
      <c r="G70" s="43"/>
      <c r="H70" s="36"/>
      <c r="I70" s="193"/>
      <c r="J70" s="75"/>
      <c r="K70" s="75"/>
      <c r="L70" s="37"/>
      <c r="M70" s="37"/>
      <c r="N70" s="45"/>
      <c r="O70" s="46"/>
      <c r="P70" s="169"/>
    </row>
    <row r="71" spans="1:16" ht="62" x14ac:dyDescent="0.3">
      <c r="A71" s="41">
        <f>IF(F71&lt;&gt;"",1+MAX($A$2:A70),"")</f>
        <v>33</v>
      </c>
      <c r="B71" s="181"/>
      <c r="C71" s="168" t="s">
        <v>104</v>
      </c>
      <c r="D71" s="41" t="s">
        <v>34</v>
      </c>
      <c r="E71" s="41">
        <v>1</v>
      </c>
      <c r="F71" s="42">
        <v>0</v>
      </c>
      <c r="G71" s="43">
        <f t="shared" si="31"/>
        <v>1</v>
      </c>
      <c r="H71" s="36">
        <v>2.5470000000000002</v>
      </c>
      <c r="I71" s="193">
        <v>70</v>
      </c>
      <c r="J71" s="75">
        <f t="shared" si="32"/>
        <v>178.29000000000002</v>
      </c>
      <c r="K71" s="75">
        <v>286.44</v>
      </c>
      <c r="L71" s="37">
        <f t="shared" si="27"/>
        <v>178.29000000000002</v>
      </c>
      <c r="M71" s="37">
        <f t="shared" si="28"/>
        <v>286.44</v>
      </c>
      <c r="N71" s="45">
        <f t="shared" si="33"/>
        <v>464.73</v>
      </c>
      <c r="O71" s="46">
        <f t="shared" si="34"/>
        <v>464.73</v>
      </c>
      <c r="P71" s="169"/>
    </row>
    <row r="72" spans="1:16" x14ac:dyDescent="0.3">
      <c r="A72" s="41" t="str">
        <f>IF(F72&lt;&gt;"",1+MAX($A$2:A71),"")</f>
        <v/>
      </c>
      <c r="B72" s="181"/>
      <c r="C72" s="136" t="s">
        <v>105</v>
      </c>
      <c r="D72" s="41"/>
      <c r="E72" s="41"/>
      <c r="F72" s="42"/>
      <c r="G72" s="43"/>
      <c r="H72" s="36"/>
      <c r="I72" s="193"/>
      <c r="J72" s="75"/>
      <c r="K72" s="75"/>
      <c r="L72" s="37"/>
      <c r="M72" s="37"/>
      <c r="N72" s="45"/>
      <c r="O72" s="46"/>
      <c r="P72" s="169"/>
    </row>
    <row r="73" spans="1:16" x14ac:dyDescent="0.3">
      <c r="A73" s="41">
        <f>IF(F73&lt;&gt;"",1+MAX($A$2:A72),"")</f>
        <v>34</v>
      </c>
      <c r="B73" s="181"/>
      <c r="C73" s="114" t="s">
        <v>106</v>
      </c>
      <c r="D73" s="41" t="s">
        <v>34</v>
      </c>
      <c r="E73" s="41">
        <v>1</v>
      </c>
      <c r="F73" s="42">
        <v>0</v>
      </c>
      <c r="G73" s="43">
        <f t="shared" si="31"/>
        <v>1</v>
      </c>
      <c r="H73" s="36">
        <v>0.52600000000000002</v>
      </c>
      <c r="I73" s="193">
        <v>70</v>
      </c>
      <c r="J73" s="75">
        <f t="shared" si="32"/>
        <v>36.82</v>
      </c>
      <c r="K73" s="75">
        <v>46.034999999999997</v>
      </c>
      <c r="L73" s="37">
        <f t="shared" si="27"/>
        <v>36.82</v>
      </c>
      <c r="M73" s="37">
        <f t="shared" si="28"/>
        <v>46.034999999999997</v>
      </c>
      <c r="N73" s="45">
        <f t="shared" si="33"/>
        <v>82.85499999999999</v>
      </c>
      <c r="O73" s="46">
        <f t="shared" si="34"/>
        <v>82.85499999999999</v>
      </c>
      <c r="P73" s="169"/>
    </row>
    <row r="74" spans="1:16" x14ac:dyDescent="0.3">
      <c r="A74" s="41">
        <f>IF(F74&lt;&gt;"",1+MAX($A$2:A73),"")</f>
        <v>35</v>
      </c>
      <c r="B74" s="181"/>
      <c r="C74" s="114" t="s">
        <v>107</v>
      </c>
      <c r="D74" s="41" t="s">
        <v>34</v>
      </c>
      <c r="E74" s="41">
        <v>1</v>
      </c>
      <c r="F74" s="42">
        <v>0</v>
      </c>
      <c r="G74" s="43">
        <f t="shared" si="31"/>
        <v>1</v>
      </c>
      <c r="H74" s="36">
        <v>0.65200000000000002</v>
      </c>
      <c r="I74" s="193">
        <v>70</v>
      </c>
      <c r="J74" s="75">
        <f t="shared" si="32"/>
        <v>45.64</v>
      </c>
      <c r="K74" s="75">
        <v>61.379999999999995</v>
      </c>
      <c r="L74" s="37">
        <f t="shared" si="27"/>
        <v>45.64</v>
      </c>
      <c r="M74" s="37">
        <f t="shared" si="28"/>
        <v>61.379999999999995</v>
      </c>
      <c r="N74" s="45">
        <f t="shared" si="33"/>
        <v>107.02</v>
      </c>
      <c r="O74" s="46">
        <f t="shared" si="34"/>
        <v>107.02</v>
      </c>
      <c r="P74" s="169"/>
    </row>
    <row r="75" spans="1:16" x14ac:dyDescent="0.3">
      <c r="A75" s="41" t="str">
        <f>IF(F75&lt;&gt;"",1+MAX($A$2:A74),"")</f>
        <v/>
      </c>
      <c r="B75" s="181"/>
      <c r="C75" s="136" t="s">
        <v>108</v>
      </c>
      <c r="D75" s="41"/>
      <c r="E75" s="41"/>
      <c r="F75" s="42"/>
      <c r="G75" s="43"/>
      <c r="H75" s="36"/>
      <c r="I75" s="193"/>
      <c r="J75" s="75"/>
      <c r="K75" s="75"/>
      <c r="L75" s="37"/>
      <c r="M75" s="37"/>
      <c r="N75" s="45"/>
      <c r="O75" s="46"/>
      <c r="P75" s="169"/>
    </row>
    <row r="76" spans="1:16" x14ac:dyDescent="0.3">
      <c r="A76" s="41">
        <f>IF(F76&lt;&gt;"",1+MAX($A$2:A75),"")</f>
        <v>36</v>
      </c>
      <c r="B76" s="182"/>
      <c r="C76" s="114" t="s">
        <v>109</v>
      </c>
      <c r="D76" s="41" t="s">
        <v>34</v>
      </c>
      <c r="E76" s="41">
        <v>1</v>
      </c>
      <c r="F76" s="42">
        <v>0</v>
      </c>
      <c r="G76" s="43">
        <f t="shared" si="31"/>
        <v>1</v>
      </c>
      <c r="H76" s="36">
        <v>3.657</v>
      </c>
      <c r="I76" s="193">
        <v>70</v>
      </c>
      <c r="J76" s="75">
        <f t="shared" si="32"/>
        <v>255.99</v>
      </c>
      <c r="K76" s="75">
        <v>664.94999999999993</v>
      </c>
      <c r="L76" s="37">
        <f t="shared" si="27"/>
        <v>255.99</v>
      </c>
      <c r="M76" s="37">
        <f t="shared" si="28"/>
        <v>664.94999999999993</v>
      </c>
      <c r="N76" s="45">
        <f t="shared" si="33"/>
        <v>920.93999999999994</v>
      </c>
      <c r="O76" s="46">
        <f t="shared" si="34"/>
        <v>920.93999999999994</v>
      </c>
      <c r="P76" s="169"/>
    </row>
    <row r="77" spans="1:16" x14ac:dyDescent="0.3">
      <c r="A77" s="41" t="str">
        <f>IF(F77&lt;&gt;"",1+MAX($A$2:A76),"")</f>
        <v/>
      </c>
      <c r="B77" s="41"/>
      <c r="C77" s="32"/>
      <c r="D77" s="76"/>
      <c r="E77" s="43"/>
      <c r="F77" s="42"/>
      <c r="G77" s="43"/>
      <c r="H77" s="36"/>
      <c r="I77" s="193"/>
      <c r="J77" s="75"/>
      <c r="K77" s="75"/>
      <c r="L77" s="75"/>
      <c r="M77" s="75"/>
      <c r="N77" s="45"/>
      <c r="O77" s="46"/>
      <c r="P77" s="169"/>
    </row>
    <row r="78" spans="1:16" x14ac:dyDescent="0.3">
      <c r="A78" s="165" t="str">
        <f>IF(F78&lt;&gt;"",1+MAX($A$2:A77),"")</f>
        <v/>
      </c>
      <c r="B78" s="48"/>
      <c r="C78" s="48"/>
      <c r="D78" s="48"/>
      <c r="E78" s="48"/>
      <c r="F78" s="48"/>
      <c r="G78" s="48"/>
      <c r="H78" s="48"/>
      <c r="I78" s="194"/>
      <c r="J78" s="49"/>
      <c r="K78" s="49"/>
      <c r="L78" s="51">
        <f>SUM(L60:L77)</f>
        <v>1816.3040000000001</v>
      </c>
      <c r="M78" s="51">
        <f>SUM(M60:M77)</f>
        <v>3934.3919999999994</v>
      </c>
      <c r="N78" s="50" t="s">
        <v>22</v>
      </c>
      <c r="O78" s="51">
        <f>SUM(O60:O77)</f>
        <v>5750.695999999999</v>
      </c>
      <c r="P78" s="169"/>
    </row>
    <row r="79" spans="1:16" x14ac:dyDescent="0.3">
      <c r="A79" s="167" t="str">
        <f>IF(F79&lt;&gt;"",1+MAX($A$2:A78),"")</f>
        <v/>
      </c>
      <c r="B79" s="68"/>
      <c r="C79" s="68"/>
      <c r="D79" s="69"/>
      <c r="E79" s="130"/>
      <c r="F79" s="70"/>
      <c r="G79" s="130"/>
      <c r="H79" s="131"/>
      <c r="I79" s="197"/>
      <c r="J79" s="71"/>
      <c r="K79" s="71"/>
      <c r="L79" s="71"/>
      <c r="M79" s="71"/>
      <c r="N79" s="132"/>
      <c r="O79" s="72"/>
      <c r="P79" s="169"/>
    </row>
    <row r="80" spans="1:16" ht="17.5" x14ac:dyDescent="0.3">
      <c r="A80" s="166" t="str">
        <f>IF(F80&lt;&gt;"",1+MAX($A$2:A79),"")</f>
        <v/>
      </c>
      <c r="B80" s="55"/>
      <c r="C80" s="56"/>
      <c r="D80" s="57" t="s">
        <v>32</v>
      </c>
      <c r="E80" s="58"/>
      <c r="F80" s="58"/>
      <c r="G80" s="58"/>
      <c r="H80" s="58"/>
      <c r="I80" s="192"/>
      <c r="J80" s="58"/>
      <c r="K80" s="58"/>
      <c r="L80" s="58"/>
      <c r="M80" s="58"/>
      <c r="N80" s="59"/>
      <c r="O80" s="60"/>
      <c r="P80" s="169"/>
    </row>
    <row r="81" spans="1:16" ht="18" customHeight="1" x14ac:dyDescent="0.3">
      <c r="A81" s="40" t="str">
        <f>IF(F81&lt;&gt;"",1+MAX($A$2:A80),"")</f>
        <v/>
      </c>
      <c r="B81" s="40"/>
      <c r="C81" s="62" t="s">
        <v>32</v>
      </c>
      <c r="D81" s="63"/>
      <c r="E81" s="41"/>
      <c r="F81" s="78" t="str">
        <f t="shared" ref="F81" si="36">IF(E81=0,"",0)</f>
        <v/>
      </c>
      <c r="G81" s="79" t="str">
        <f>IF(E81=0,"",E81*(1+F81))</f>
        <v/>
      </c>
      <c r="H81" s="79"/>
      <c r="I81" s="199"/>
      <c r="J81" s="75"/>
      <c r="K81" s="75"/>
      <c r="L81" s="75"/>
      <c r="M81" s="75"/>
      <c r="N81" s="45"/>
      <c r="O81" s="46"/>
      <c r="P81" s="169"/>
    </row>
    <row r="82" spans="1:16" x14ac:dyDescent="0.3">
      <c r="A82" s="40" t="str">
        <f>IF(F82&lt;&gt;"",1+MAX($A$2:A81),"")</f>
        <v/>
      </c>
      <c r="B82" s="40"/>
      <c r="C82" s="136" t="s">
        <v>42</v>
      </c>
      <c r="D82" s="41"/>
      <c r="E82" s="41"/>
      <c r="F82" s="78"/>
      <c r="G82" s="43"/>
      <c r="H82" s="43"/>
      <c r="I82" s="196"/>
      <c r="J82" s="75"/>
      <c r="K82" s="75"/>
      <c r="L82" s="75"/>
      <c r="M82" s="75"/>
      <c r="N82" s="45"/>
      <c r="O82" s="46"/>
      <c r="P82" s="169"/>
    </row>
    <row r="83" spans="1:16" x14ac:dyDescent="0.3">
      <c r="A83" s="40">
        <f>IF(F83&lt;&gt;"",1+MAX($A$2:A82),"")</f>
        <v>37</v>
      </c>
      <c r="B83" s="226" t="s">
        <v>125</v>
      </c>
      <c r="C83" s="114" t="s">
        <v>110</v>
      </c>
      <c r="D83" s="41" t="s">
        <v>34</v>
      </c>
      <c r="E83" s="41">
        <v>8</v>
      </c>
      <c r="F83" s="78">
        <v>0</v>
      </c>
      <c r="G83" s="43">
        <f>(F83*E83)+E83</f>
        <v>8</v>
      </c>
      <c r="H83" s="36">
        <v>1.2929999999999999</v>
      </c>
      <c r="I83" s="193">
        <v>78</v>
      </c>
      <c r="J83" s="75">
        <f>H83*I83</f>
        <v>100.854</v>
      </c>
      <c r="K83" s="75">
        <v>114.99</v>
      </c>
      <c r="L83" s="37">
        <f t="shared" ref="L83:L101" si="37">J83*G83</f>
        <v>806.83199999999999</v>
      </c>
      <c r="M83" s="37">
        <f t="shared" ref="M83:M101" si="38">K83*G83</f>
        <v>919.92</v>
      </c>
      <c r="N83" s="45">
        <f>+K83+J83</f>
        <v>215.84399999999999</v>
      </c>
      <c r="O83" s="46">
        <f>G83*N83</f>
        <v>1726.752</v>
      </c>
      <c r="P83" s="169"/>
    </row>
    <row r="84" spans="1:16" x14ac:dyDescent="0.3">
      <c r="A84" s="40">
        <f>IF(F84&lt;&gt;"",1+MAX($A$2:A83),"")</f>
        <v>38</v>
      </c>
      <c r="B84" s="227"/>
      <c r="C84" s="114" t="s">
        <v>111</v>
      </c>
      <c r="D84" s="41" t="s">
        <v>34</v>
      </c>
      <c r="E84" s="41">
        <v>3</v>
      </c>
      <c r="F84" s="78">
        <v>0</v>
      </c>
      <c r="G84" s="43">
        <f t="shared" ref="G84:G101" si="39">(F84*E84)+E84</f>
        <v>3</v>
      </c>
      <c r="H84" s="36">
        <v>1.075</v>
      </c>
      <c r="I84" s="193">
        <v>78</v>
      </c>
      <c r="J84" s="75">
        <f t="shared" ref="J84:J101" si="40">H84*I84</f>
        <v>83.85</v>
      </c>
      <c r="K84" s="75">
        <v>95.61</v>
      </c>
      <c r="L84" s="37">
        <f t="shared" si="37"/>
        <v>251.54999999999998</v>
      </c>
      <c r="M84" s="37">
        <f t="shared" si="38"/>
        <v>286.83</v>
      </c>
      <c r="N84" s="45">
        <f t="shared" ref="N84:N101" si="41">+K84+J84</f>
        <v>179.45999999999998</v>
      </c>
      <c r="O84" s="46">
        <f t="shared" ref="O84:O101" si="42">G84*N84</f>
        <v>538.37999999999988</v>
      </c>
      <c r="P84" s="169"/>
    </row>
    <row r="85" spans="1:16" x14ac:dyDescent="0.3">
      <c r="A85" s="40">
        <f>IF(F85&lt;&gt;"",1+MAX($A$2:A84),"")</f>
        <v>39</v>
      </c>
      <c r="B85" s="227"/>
      <c r="C85" s="114" t="s">
        <v>112</v>
      </c>
      <c r="D85" s="41" t="s">
        <v>34</v>
      </c>
      <c r="E85" s="41">
        <v>3</v>
      </c>
      <c r="F85" s="78">
        <v>0</v>
      </c>
      <c r="G85" s="43">
        <f t="shared" si="39"/>
        <v>3</v>
      </c>
      <c r="H85" s="36">
        <v>1.7090000000000001</v>
      </c>
      <c r="I85" s="193">
        <v>78</v>
      </c>
      <c r="J85" s="75">
        <f t="shared" si="40"/>
        <v>133.30199999999999</v>
      </c>
      <c r="K85" s="75">
        <v>151.99</v>
      </c>
      <c r="L85" s="37">
        <f t="shared" si="37"/>
        <v>399.90599999999995</v>
      </c>
      <c r="M85" s="37">
        <f t="shared" si="38"/>
        <v>455.97</v>
      </c>
      <c r="N85" s="45">
        <f t="shared" si="41"/>
        <v>285.29200000000003</v>
      </c>
      <c r="O85" s="46">
        <f t="shared" si="42"/>
        <v>855.87600000000009</v>
      </c>
      <c r="P85" s="169"/>
    </row>
    <row r="86" spans="1:16" ht="77.5" x14ac:dyDescent="0.3">
      <c r="A86" s="40">
        <f>IF(F86&lt;&gt;"",1+MAX($A$2:A85),"")</f>
        <v>40</v>
      </c>
      <c r="B86" s="227"/>
      <c r="C86" s="168" t="s">
        <v>127</v>
      </c>
      <c r="D86" s="41" t="s">
        <v>34</v>
      </c>
      <c r="E86" s="41">
        <v>1</v>
      </c>
      <c r="F86" s="78">
        <v>0</v>
      </c>
      <c r="G86" s="43">
        <f t="shared" si="39"/>
        <v>1</v>
      </c>
      <c r="H86" s="36">
        <v>2.831</v>
      </c>
      <c r="I86" s="193">
        <v>78</v>
      </c>
      <c r="J86" s="75">
        <f t="shared" si="40"/>
        <v>220.81799999999998</v>
      </c>
      <c r="K86" s="75">
        <v>251.67</v>
      </c>
      <c r="L86" s="37">
        <f t="shared" si="37"/>
        <v>220.81799999999998</v>
      </c>
      <c r="M86" s="37">
        <f t="shared" si="38"/>
        <v>251.67</v>
      </c>
      <c r="N86" s="45">
        <f t="shared" si="41"/>
        <v>472.48799999999994</v>
      </c>
      <c r="O86" s="46">
        <f t="shared" si="42"/>
        <v>472.48799999999994</v>
      </c>
      <c r="P86" s="169"/>
    </row>
    <row r="87" spans="1:16" x14ac:dyDescent="0.3">
      <c r="A87" s="40">
        <f>IF(F87&lt;&gt;"",1+MAX($A$2:A86),"")</f>
        <v>41</v>
      </c>
      <c r="B87" s="227"/>
      <c r="C87" s="114" t="s">
        <v>113</v>
      </c>
      <c r="D87" s="41" t="s">
        <v>34</v>
      </c>
      <c r="E87" s="41">
        <v>2</v>
      </c>
      <c r="F87" s="78">
        <v>0</v>
      </c>
      <c r="G87" s="43">
        <f t="shared" si="39"/>
        <v>2</v>
      </c>
      <c r="H87" s="36">
        <v>0.378</v>
      </c>
      <c r="I87" s="193">
        <v>78</v>
      </c>
      <c r="J87" s="75">
        <f t="shared" si="40"/>
        <v>29.484000000000002</v>
      </c>
      <c r="K87" s="75">
        <v>4.5</v>
      </c>
      <c r="L87" s="37">
        <f t="shared" si="37"/>
        <v>58.968000000000004</v>
      </c>
      <c r="M87" s="37">
        <f t="shared" si="38"/>
        <v>9</v>
      </c>
      <c r="N87" s="45">
        <f t="shared" si="41"/>
        <v>33.984000000000002</v>
      </c>
      <c r="O87" s="46">
        <f t="shared" si="42"/>
        <v>67.968000000000004</v>
      </c>
      <c r="P87" s="169"/>
    </row>
    <row r="88" spans="1:16" x14ac:dyDescent="0.3">
      <c r="A88" s="40">
        <f>IF(F88&lt;&gt;"",1+MAX($A$2:A87),"")</f>
        <v>42</v>
      </c>
      <c r="B88" s="227"/>
      <c r="C88" s="114" t="s">
        <v>114</v>
      </c>
      <c r="D88" s="41" t="s">
        <v>34</v>
      </c>
      <c r="E88" s="41">
        <v>1</v>
      </c>
      <c r="F88" s="78">
        <v>0</v>
      </c>
      <c r="G88" s="43">
        <f t="shared" si="39"/>
        <v>1</v>
      </c>
      <c r="H88" s="36">
        <v>0.57099999999999995</v>
      </c>
      <c r="I88" s="193">
        <v>78</v>
      </c>
      <c r="J88" s="75">
        <f t="shared" si="40"/>
        <v>44.537999999999997</v>
      </c>
      <c r="K88" s="75">
        <v>11.65</v>
      </c>
      <c r="L88" s="37">
        <f t="shared" si="37"/>
        <v>44.537999999999997</v>
      </c>
      <c r="M88" s="37">
        <f t="shared" si="38"/>
        <v>11.65</v>
      </c>
      <c r="N88" s="45">
        <f t="shared" si="41"/>
        <v>56.187999999999995</v>
      </c>
      <c r="O88" s="46">
        <f t="shared" si="42"/>
        <v>56.187999999999995</v>
      </c>
      <c r="P88" s="169"/>
    </row>
    <row r="89" spans="1:16" x14ac:dyDescent="0.3">
      <c r="A89" s="40" t="str">
        <f>IF(F89&lt;&gt;"",1+MAX($A$2:A88),"")</f>
        <v/>
      </c>
      <c r="B89" s="227"/>
      <c r="C89" s="136" t="s">
        <v>41</v>
      </c>
      <c r="D89" s="41"/>
      <c r="E89" s="41"/>
      <c r="F89" s="78"/>
      <c r="G89" s="43"/>
      <c r="H89" s="36"/>
      <c r="I89" s="193"/>
      <c r="J89" s="75"/>
      <c r="K89" s="75"/>
      <c r="L89" s="37"/>
      <c r="M89" s="37"/>
      <c r="N89" s="45"/>
      <c r="O89" s="46"/>
      <c r="P89" s="169"/>
    </row>
    <row r="90" spans="1:16" x14ac:dyDescent="0.3">
      <c r="A90" s="40">
        <f>IF(F90&lt;&gt;"",1+MAX($A$2:A89),"")</f>
        <v>43</v>
      </c>
      <c r="B90" s="227"/>
      <c r="C90" s="114" t="s">
        <v>115</v>
      </c>
      <c r="D90" s="41" t="s">
        <v>34</v>
      </c>
      <c r="E90" s="41">
        <v>7</v>
      </c>
      <c r="F90" s="78">
        <v>0</v>
      </c>
      <c r="G90" s="43">
        <f t="shared" si="39"/>
        <v>7</v>
      </c>
      <c r="H90" s="36">
        <v>0.42299999999999993</v>
      </c>
      <c r="I90" s="193">
        <v>78</v>
      </c>
      <c r="J90" s="75">
        <f t="shared" si="40"/>
        <v>32.993999999999993</v>
      </c>
      <c r="K90" s="75">
        <v>5.8</v>
      </c>
      <c r="L90" s="37">
        <f t="shared" si="37"/>
        <v>230.95799999999994</v>
      </c>
      <c r="M90" s="37">
        <f t="shared" si="38"/>
        <v>40.6</v>
      </c>
      <c r="N90" s="45">
        <f t="shared" si="41"/>
        <v>38.79399999999999</v>
      </c>
      <c r="O90" s="46">
        <f t="shared" si="42"/>
        <v>271.55799999999994</v>
      </c>
      <c r="P90" s="169"/>
    </row>
    <row r="91" spans="1:16" x14ac:dyDescent="0.3">
      <c r="A91" s="40">
        <f>IF(F91&lt;&gt;"",1+MAX($A$2:A90),"")</f>
        <v>44</v>
      </c>
      <c r="B91" s="227"/>
      <c r="C91" s="114" t="s">
        <v>116</v>
      </c>
      <c r="D91" s="41" t="s">
        <v>34</v>
      </c>
      <c r="E91" s="41">
        <v>2</v>
      </c>
      <c r="F91" s="78">
        <v>0</v>
      </c>
      <c r="G91" s="43">
        <f t="shared" si="39"/>
        <v>2</v>
      </c>
      <c r="H91" s="36">
        <v>0.51899999999999991</v>
      </c>
      <c r="I91" s="193">
        <v>78</v>
      </c>
      <c r="J91" s="75">
        <f t="shared" si="40"/>
        <v>40.481999999999992</v>
      </c>
      <c r="K91" s="75">
        <v>13.92</v>
      </c>
      <c r="L91" s="37">
        <f t="shared" si="37"/>
        <v>80.963999999999984</v>
      </c>
      <c r="M91" s="37">
        <f t="shared" si="38"/>
        <v>27.84</v>
      </c>
      <c r="N91" s="45">
        <f t="shared" si="41"/>
        <v>54.401999999999994</v>
      </c>
      <c r="O91" s="46">
        <f t="shared" si="42"/>
        <v>108.80399999999999</v>
      </c>
      <c r="P91" s="169"/>
    </row>
    <row r="92" spans="1:16" x14ac:dyDescent="0.3">
      <c r="A92" s="40">
        <f>IF(F92&lt;&gt;"",1+MAX($A$2:A91),"")</f>
        <v>45</v>
      </c>
      <c r="B92" s="227"/>
      <c r="C92" s="114" t="s">
        <v>117</v>
      </c>
      <c r="D92" s="41" t="s">
        <v>34</v>
      </c>
      <c r="E92" s="41">
        <v>1</v>
      </c>
      <c r="F92" s="78">
        <v>0</v>
      </c>
      <c r="G92" s="43">
        <f t="shared" si="39"/>
        <v>1</v>
      </c>
      <c r="H92" s="36">
        <v>0.81599999999999995</v>
      </c>
      <c r="I92" s="193">
        <v>78</v>
      </c>
      <c r="J92" s="75">
        <f t="shared" si="40"/>
        <v>63.647999999999996</v>
      </c>
      <c r="K92" s="75">
        <v>72.56</v>
      </c>
      <c r="L92" s="37">
        <f t="shared" si="37"/>
        <v>63.647999999999996</v>
      </c>
      <c r="M92" s="37">
        <f t="shared" si="38"/>
        <v>72.56</v>
      </c>
      <c r="N92" s="45">
        <f t="shared" si="41"/>
        <v>136.208</v>
      </c>
      <c r="O92" s="46">
        <f t="shared" si="42"/>
        <v>136.208</v>
      </c>
      <c r="P92" s="169"/>
    </row>
    <row r="93" spans="1:16" x14ac:dyDescent="0.3">
      <c r="A93" s="40">
        <f>IF(F93&lt;&gt;"",1+MAX($A$2:A92),"")</f>
        <v>46</v>
      </c>
      <c r="B93" s="227"/>
      <c r="C93" s="114" t="s">
        <v>118</v>
      </c>
      <c r="D93" s="41" t="s">
        <v>34</v>
      </c>
      <c r="E93" s="41">
        <v>1</v>
      </c>
      <c r="F93" s="78">
        <v>0</v>
      </c>
      <c r="G93" s="43">
        <f t="shared" si="39"/>
        <v>1</v>
      </c>
      <c r="H93" s="36">
        <v>0.84699999999999998</v>
      </c>
      <c r="I93" s="193">
        <v>78</v>
      </c>
      <c r="J93" s="75">
        <f t="shared" si="40"/>
        <v>66.066000000000003</v>
      </c>
      <c r="K93" s="75">
        <v>75.3</v>
      </c>
      <c r="L93" s="37">
        <f t="shared" si="37"/>
        <v>66.066000000000003</v>
      </c>
      <c r="M93" s="37">
        <f t="shared" si="38"/>
        <v>75.3</v>
      </c>
      <c r="N93" s="45">
        <f t="shared" si="41"/>
        <v>141.36599999999999</v>
      </c>
      <c r="O93" s="46">
        <f t="shared" si="42"/>
        <v>141.36599999999999</v>
      </c>
      <c r="P93" s="169"/>
    </row>
    <row r="94" spans="1:16" x14ac:dyDescent="0.3">
      <c r="A94" s="40">
        <f>IF(F94&lt;&gt;"",1+MAX($A$2:A93),"")</f>
        <v>47</v>
      </c>
      <c r="B94" s="227"/>
      <c r="C94" s="114" t="s">
        <v>119</v>
      </c>
      <c r="D94" s="41" t="s">
        <v>34</v>
      </c>
      <c r="E94" s="41">
        <v>1</v>
      </c>
      <c r="F94" s="78">
        <v>0</v>
      </c>
      <c r="G94" s="43">
        <f t="shared" si="39"/>
        <v>1</v>
      </c>
      <c r="H94" s="36">
        <v>3.524</v>
      </c>
      <c r="I94" s="193">
        <v>78</v>
      </c>
      <c r="J94" s="75">
        <f t="shared" si="40"/>
        <v>274.87200000000001</v>
      </c>
      <c r="K94" s="75">
        <v>633.97</v>
      </c>
      <c r="L94" s="37">
        <f t="shared" si="37"/>
        <v>274.87200000000001</v>
      </c>
      <c r="M94" s="37">
        <f t="shared" si="38"/>
        <v>633.97</v>
      </c>
      <c r="N94" s="45">
        <f t="shared" si="41"/>
        <v>908.8420000000001</v>
      </c>
      <c r="O94" s="46">
        <f t="shared" si="42"/>
        <v>908.8420000000001</v>
      </c>
      <c r="P94" s="169"/>
    </row>
    <row r="95" spans="1:16" x14ac:dyDescent="0.3">
      <c r="A95" s="40">
        <f>IF(F95&lt;&gt;"",1+MAX($A$2:A94),"")</f>
        <v>48</v>
      </c>
      <c r="B95" s="227"/>
      <c r="C95" s="114" t="s">
        <v>120</v>
      </c>
      <c r="D95" s="41" t="s">
        <v>34</v>
      </c>
      <c r="E95" s="41">
        <v>3</v>
      </c>
      <c r="F95" s="78">
        <v>0</v>
      </c>
      <c r="G95" s="43">
        <f t="shared" si="39"/>
        <v>3</v>
      </c>
      <c r="H95" s="36">
        <v>0.315</v>
      </c>
      <c r="I95" s="193">
        <v>78</v>
      </c>
      <c r="J95" s="75">
        <f t="shared" si="40"/>
        <v>24.57</v>
      </c>
      <c r="K95" s="75">
        <v>28</v>
      </c>
      <c r="L95" s="37">
        <f t="shared" si="37"/>
        <v>73.710000000000008</v>
      </c>
      <c r="M95" s="37">
        <f t="shared" si="38"/>
        <v>84</v>
      </c>
      <c r="N95" s="45">
        <f t="shared" si="41"/>
        <v>52.57</v>
      </c>
      <c r="O95" s="46">
        <f t="shared" si="42"/>
        <v>157.71</v>
      </c>
      <c r="P95" s="169"/>
    </row>
    <row r="96" spans="1:16" x14ac:dyDescent="0.3">
      <c r="A96" s="40" t="str">
        <f>IF(F96&lt;&gt;"",1+MAX($A$2:A95),"")</f>
        <v/>
      </c>
      <c r="B96" s="227"/>
      <c r="C96" s="136" t="s">
        <v>58</v>
      </c>
      <c r="D96" s="41"/>
      <c r="E96" s="41"/>
      <c r="F96" s="78"/>
      <c r="G96" s="43"/>
      <c r="H96" s="36"/>
      <c r="I96" s="193"/>
      <c r="J96" s="75"/>
      <c r="K96" s="75"/>
      <c r="L96" s="37"/>
      <c r="M96" s="37"/>
      <c r="N96" s="45"/>
      <c r="O96" s="46"/>
      <c r="P96" s="169"/>
    </row>
    <row r="97" spans="1:16" x14ac:dyDescent="0.3">
      <c r="A97" s="40">
        <f>IF(F97&lt;&gt;"",1+MAX($A$2:A96),"")</f>
        <v>49</v>
      </c>
      <c r="B97" s="227"/>
      <c r="C97" s="114" t="s">
        <v>121</v>
      </c>
      <c r="D97" s="41" t="s">
        <v>34</v>
      </c>
      <c r="E97" s="41">
        <v>1</v>
      </c>
      <c r="F97" s="78">
        <v>0</v>
      </c>
      <c r="G97" s="43">
        <f t="shared" si="39"/>
        <v>1</v>
      </c>
      <c r="H97" s="36">
        <v>6.8570000000000002</v>
      </c>
      <c r="I97" s="193">
        <v>78</v>
      </c>
      <c r="J97" s="75">
        <f t="shared" si="40"/>
        <v>534.846</v>
      </c>
      <c r="K97" s="75">
        <v>1252</v>
      </c>
      <c r="L97" s="37">
        <f t="shared" si="37"/>
        <v>534.846</v>
      </c>
      <c r="M97" s="37">
        <f t="shared" si="38"/>
        <v>1252</v>
      </c>
      <c r="N97" s="45">
        <f t="shared" si="41"/>
        <v>1786.846</v>
      </c>
      <c r="O97" s="46">
        <f t="shared" si="42"/>
        <v>1786.846</v>
      </c>
      <c r="P97" s="169"/>
    </row>
    <row r="98" spans="1:16" x14ac:dyDescent="0.3">
      <c r="A98" s="40">
        <f>IF(F98&lt;&gt;"",1+MAX($A$2:A97),"")</f>
        <v>50</v>
      </c>
      <c r="B98" s="227"/>
      <c r="C98" s="114" t="s">
        <v>128</v>
      </c>
      <c r="D98" s="41" t="s">
        <v>34</v>
      </c>
      <c r="E98" s="41">
        <v>1</v>
      </c>
      <c r="F98" s="78">
        <v>0</v>
      </c>
      <c r="G98" s="43">
        <f t="shared" si="39"/>
        <v>1</v>
      </c>
      <c r="H98" s="36">
        <v>0.42499999999999999</v>
      </c>
      <c r="I98" s="193">
        <v>78</v>
      </c>
      <c r="J98" s="75">
        <f t="shared" si="40"/>
        <v>33.15</v>
      </c>
      <c r="K98" s="75">
        <v>0</v>
      </c>
      <c r="L98" s="37">
        <f t="shared" si="37"/>
        <v>33.15</v>
      </c>
      <c r="M98" s="37">
        <f t="shared" si="38"/>
        <v>0</v>
      </c>
      <c r="N98" s="45">
        <f t="shared" si="41"/>
        <v>33.15</v>
      </c>
      <c r="O98" s="46">
        <f t="shared" si="42"/>
        <v>33.15</v>
      </c>
      <c r="P98" s="169"/>
    </row>
    <row r="99" spans="1:16" x14ac:dyDescent="0.3">
      <c r="A99" s="40">
        <f>IF(F99&lt;&gt;"",1+MAX($A$2:A98),"")</f>
        <v>51</v>
      </c>
      <c r="B99" s="227"/>
      <c r="C99" s="114" t="s">
        <v>129</v>
      </c>
      <c r="D99" s="41" t="s">
        <v>34</v>
      </c>
      <c r="E99" s="41">
        <v>1</v>
      </c>
      <c r="F99" s="78">
        <v>0</v>
      </c>
      <c r="G99" s="43">
        <f t="shared" si="39"/>
        <v>1</v>
      </c>
      <c r="H99" s="36">
        <v>0.95699999999999996</v>
      </c>
      <c r="I99" s="193">
        <v>78</v>
      </c>
      <c r="J99" s="75">
        <f t="shared" si="40"/>
        <v>74.646000000000001</v>
      </c>
      <c r="K99" s="75">
        <v>0</v>
      </c>
      <c r="L99" s="37">
        <f t="shared" si="37"/>
        <v>74.646000000000001</v>
      </c>
      <c r="M99" s="37">
        <f t="shared" si="38"/>
        <v>0</v>
      </c>
      <c r="N99" s="45">
        <f t="shared" si="41"/>
        <v>74.646000000000001</v>
      </c>
      <c r="O99" s="46">
        <f t="shared" si="42"/>
        <v>74.646000000000001</v>
      </c>
      <c r="P99" s="169"/>
    </row>
    <row r="100" spans="1:16" x14ac:dyDescent="0.3">
      <c r="A100" s="40" t="str">
        <f>IF(F100&lt;&gt;"",1+MAX($A$2:A99),"")</f>
        <v/>
      </c>
      <c r="B100" s="227"/>
      <c r="C100" s="136" t="s">
        <v>57</v>
      </c>
      <c r="D100" s="64"/>
      <c r="E100" s="43"/>
      <c r="F100" s="78"/>
      <c r="G100" s="43"/>
      <c r="H100" s="36"/>
      <c r="I100" s="193"/>
      <c r="J100" s="75"/>
      <c r="K100" s="75"/>
      <c r="L100" s="37"/>
      <c r="M100" s="37"/>
      <c r="N100" s="45"/>
      <c r="O100" s="46"/>
      <c r="P100" s="169"/>
    </row>
    <row r="101" spans="1:16" x14ac:dyDescent="0.3">
      <c r="A101" s="40">
        <f>IF(F101&lt;&gt;"",1+MAX($A$2:A100),"")</f>
        <v>52</v>
      </c>
      <c r="B101" s="228"/>
      <c r="C101" s="145" t="s">
        <v>122</v>
      </c>
      <c r="D101" s="77" t="s">
        <v>4</v>
      </c>
      <c r="E101" s="43">
        <v>1</v>
      </c>
      <c r="F101" s="78">
        <v>0</v>
      </c>
      <c r="G101" s="43">
        <f t="shared" si="39"/>
        <v>1</v>
      </c>
      <c r="H101" s="36">
        <v>4.5599999999999996</v>
      </c>
      <c r="I101" s="193">
        <v>78</v>
      </c>
      <c r="J101" s="75">
        <f t="shared" si="40"/>
        <v>355.67999999999995</v>
      </c>
      <c r="K101" s="75">
        <v>985</v>
      </c>
      <c r="L101" s="37">
        <f t="shared" si="37"/>
        <v>355.67999999999995</v>
      </c>
      <c r="M101" s="37">
        <f t="shared" si="38"/>
        <v>985</v>
      </c>
      <c r="N101" s="45">
        <f t="shared" si="41"/>
        <v>1340.6799999999998</v>
      </c>
      <c r="O101" s="46">
        <f t="shared" si="42"/>
        <v>1340.6799999999998</v>
      </c>
      <c r="P101" s="169"/>
    </row>
    <row r="102" spans="1:16" x14ac:dyDescent="0.3">
      <c r="A102" s="40" t="str">
        <f>IF(F102&lt;&gt;"",1+MAX($A$2:A101),"")</f>
        <v/>
      </c>
      <c r="B102" s="40"/>
      <c r="C102" s="145"/>
      <c r="D102" s="76"/>
      <c r="E102" s="43"/>
      <c r="F102" s="78"/>
      <c r="G102" s="43"/>
      <c r="H102" s="36"/>
      <c r="I102" s="193"/>
      <c r="J102" s="75"/>
      <c r="K102" s="75"/>
      <c r="L102" s="75"/>
      <c r="M102" s="75"/>
      <c r="N102" s="45"/>
      <c r="O102" s="46"/>
      <c r="P102" s="169"/>
    </row>
    <row r="103" spans="1:16" x14ac:dyDescent="0.3">
      <c r="A103" s="165" t="str">
        <f>IF(F103&lt;&gt;"",1+MAX($A$2:A102),"")</f>
        <v/>
      </c>
      <c r="B103" s="48"/>
      <c r="C103" s="48"/>
      <c r="D103" s="48"/>
      <c r="E103" s="48"/>
      <c r="F103" s="48"/>
      <c r="G103" s="48"/>
      <c r="H103" s="48"/>
      <c r="I103" s="194"/>
      <c r="J103" s="49"/>
      <c r="K103" s="49"/>
      <c r="L103" s="51">
        <f>SUM(L81:L101,0)</f>
        <v>3571.152</v>
      </c>
      <c r="M103" s="51">
        <f>SUM(M83:M102)</f>
        <v>5106.3100000000004</v>
      </c>
      <c r="N103" s="50" t="s">
        <v>22</v>
      </c>
      <c r="O103" s="51">
        <f>SUM(O83:O102)</f>
        <v>8677.4619999999977</v>
      </c>
      <c r="P103" s="169"/>
    </row>
    <row r="104" spans="1:16" x14ac:dyDescent="0.3">
      <c r="A104" s="67" t="str">
        <f>IF(E104&lt;&gt;"",1+MAX(A$1:$A103),"")</f>
        <v/>
      </c>
      <c r="B104" s="68"/>
      <c r="C104" s="68"/>
      <c r="D104" s="69"/>
      <c r="E104" s="130"/>
      <c r="F104" s="70"/>
      <c r="G104" s="130"/>
      <c r="H104" s="130"/>
      <c r="I104" s="197"/>
      <c r="J104" s="71"/>
      <c r="K104" s="71"/>
      <c r="L104" s="71"/>
      <c r="M104" s="71"/>
      <c r="N104" s="132"/>
      <c r="O104" s="72"/>
      <c r="P104" s="169"/>
    </row>
    <row r="105" spans="1:16" ht="20.149999999999999" customHeight="1" x14ac:dyDescent="0.3">
      <c r="A105" s="223" t="s">
        <v>10</v>
      </c>
      <c r="B105" s="224"/>
      <c r="C105" s="224"/>
      <c r="D105" s="224"/>
      <c r="E105" s="224"/>
      <c r="F105" s="224"/>
      <c r="G105" s="224"/>
      <c r="H105" s="224"/>
      <c r="I105" s="224"/>
      <c r="J105" s="224"/>
      <c r="K105" s="225"/>
      <c r="L105" s="82"/>
      <c r="M105" s="82"/>
      <c r="N105" s="83"/>
      <c r="O105" s="84">
        <f>SUM(O20+O33+O56+O78+O103)</f>
        <v>30487.114559999995</v>
      </c>
    </row>
    <row r="106" spans="1:16" ht="20.149999999999999" customHeight="1" x14ac:dyDescent="0.3">
      <c r="A106" s="85" t="s">
        <v>17</v>
      </c>
      <c r="B106" s="86"/>
      <c r="C106" s="81"/>
      <c r="D106" s="81"/>
      <c r="E106" s="81"/>
      <c r="F106" s="81"/>
      <c r="G106" s="81"/>
      <c r="H106" s="81"/>
      <c r="I106" s="200"/>
      <c r="J106" s="81"/>
      <c r="K106" s="82"/>
      <c r="L106" s="209"/>
      <c r="M106" s="209"/>
      <c r="N106" s="87">
        <v>0.15</v>
      </c>
      <c r="O106" s="88">
        <f>O105*N106</f>
        <v>4573.0671839999986</v>
      </c>
    </row>
    <row r="107" spans="1:16" ht="20.149999999999999" customHeight="1" x14ac:dyDescent="0.3">
      <c r="A107" s="89" t="s">
        <v>3</v>
      </c>
      <c r="B107" s="90"/>
      <c r="C107" s="81"/>
      <c r="D107" s="81"/>
      <c r="E107" s="81"/>
      <c r="F107" s="81"/>
      <c r="G107" s="81"/>
      <c r="H107" s="81"/>
      <c r="I107" s="200"/>
      <c r="J107" s="81"/>
      <c r="K107" s="82"/>
      <c r="L107" s="210"/>
      <c r="M107" s="210"/>
      <c r="N107" s="91">
        <v>0</v>
      </c>
      <c r="O107" s="92">
        <f>O105*N107</f>
        <v>0</v>
      </c>
    </row>
    <row r="108" spans="1:16" ht="20.149999999999999" customHeight="1" x14ac:dyDescent="0.3">
      <c r="A108" s="89" t="s">
        <v>15</v>
      </c>
      <c r="B108" s="90"/>
      <c r="C108" s="81"/>
      <c r="D108" s="81"/>
      <c r="E108" s="81"/>
      <c r="F108" s="81"/>
      <c r="G108" s="81"/>
      <c r="H108" s="81"/>
      <c r="I108" s="200"/>
      <c r="J108" s="81"/>
      <c r="K108" s="82"/>
      <c r="L108" s="210"/>
      <c r="M108" s="210"/>
      <c r="N108" s="91">
        <v>0.05</v>
      </c>
      <c r="O108" s="88">
        <f>O105*N108</f>
        <v>1524.3557279999998</v>
      </c>
    </row>
    <row r="109" spans="1:16" ht="20.149999999999999" customHeight="1" thickBot="1" x14ac:dyDescent="0.35">
      <c r="A109" s="93" t="s">
        <v>23</v>
      </c>
      <c r="B109" s="94"/>
      <c r="C109" s="95"/>
      <c r="D109" s="95"/>
      <c r="E109" s="95"/>
      <c r="F109" s="95"/>
      <c r="G109" s="95"/>
      <c r="H109" s="95"/>
      <c r="I109" s="201"/>
      <c r="J109" s="95"/>
      <c r="K109" s="96"/>
      <c r="L109" s="211"/>
      <c r="M109" s="211"/>
      <c r="N109" s="97">
        <v>9.7000000000000003E-2</v>
      </c>
      <c r="O109" s="98">
        <f>O105*N109</f>
        <v>2957.2501123199995</v>
      </c>
    </row>
    <row r="110" spans="1:16" ht="20.149999999999999" customHeight="1" thickBot="1" x14ac:dyDescent="0.35">
      <c r="A110" s="219" t="s">
        <v>11</v>
      </c>
      <c r="B110" s="220"/>
      <c r="C110" s="221"/>
      <c r="D110" s="221"/>
      <c r="E110" s="221"/>
      <c r="F110" s="221"/>
      <c r="G110" s="221"/>
      <c r="H110" s="221"/>
      <c r="I110" s="221"/>
      <c r="J110" s="221"/>
      <c r="K110" s="221"/>
      <c r="L110" s="221"/>
      <c r="M110" s="221"/>
      <c r="N110" s="222"/>
      <c r="O110" s="99">
        <f>O105+O106+O107+O108+O109</f>
        <v>39541.787584319994</v>
      </c>
    </row>
    <row r="111" spans="1:16" ht="20.149999999999999" customHeight="1" thickBot="1" x14ac:dyDescent="0.35">
      <c r="A111" s="100" t="s">
        <v>56</v>
      </c>
      <c r="B111" s="101"/>
      <c r="C111" s="133"/>
      <c r="D111" s="133"/>
      <c r="E111" s="133"/>
      <c r="F111" s="133"/>
      <c r="G111" s="133"/>
      <c r="H111" s="133"/>
      <c r="I111" s="202"/>
      <c r="J111" s="133"/>
      <c r="K111" s="133"/>
      <c r="L111" s="133"/>
      <c r="M111" s="133"/>
      <c r="N111" s="134"/>
      <c r="O111" s="102"/>
    </row>
    <row r="112" spans="1:16" ht="20.149999999999999" customHeight="1" x14ac:dyDescent="0.3">
      <c r="A112" s="103"/>
      <c r="B112" s="135"/>
      <c r="C112" s="133"/>
      <c r="D112" s="133"/>
      <c r="E112" s="133"/>
      <c r="F112" s="133"/>
      <c r="G112" s="133"/>
      <c r="H112" s="133"/>
      <c r="I112" s="202"/>
      <c r="J112" s="133"/>
      <c r="K112" s="133"/>
      <c r="L112" s="133"/>
      <c r="M112" s="133"/>
      <c r="N112" s="134"/>
      <c r="O112" s="102" t="s">
        <v>31</v>
      </c>
    </row>
    <row r="113" spans="1:15" ht="20.149999999999999" customHeight="1" x14ac:dyDescent="0.3">
      <c r="A113" s="103"/>
      <c r="B113" s="135"/>
      <c r="C113" s="133"/>
      <c r="D113" s="133"/>
      <c r="E113" s="133"/>
      <c r="F113" s="133"/>
      <c r="G113" s="133"/>
      <c r="H113" s="133"/>
      <c r="I113" s="202"/>
      <c r="J113" s="133"/>
      <c r="K113" s="133"/>
      <c r="L113" s="133"/>
      <c r="M113" s="133"/>
      <c r="N113" s="134"/>
      <c r="O113" s="102"/>
    </row>
  </sheetData>
  <mergeCells count="7">
    <mergeCell ref="A110:N110"/>
    <mergeCell ref="A105:K105"/>
    <mergeCell ref="A2:O2"/>
    <mergeCell ref="B24:B26"/>
    <mergeCell ref="B28:B31"/>
    <mergeCell ref="B83:B101"/>
    <mergeCell ref="B37:B54"/>
  </mergeCells>
  <printOptions horizontalCentered="1"/>
  <pageMargins left="0.7" right="0.7" top="0.75" bottom="0.75" header="0.3" footer="0.3"/>
  <pageSetup paperSize="9" scale="50" fitToHeight="0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22CC7964-6C02-4662-ABE2-9FA994973C73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General Summary</vt:lpstr>
      <vt:lpstr>Takeoff Breakdown</vt:lpstr>
      <vt:lpstr>'General Summary'!Print_Area</vt:lpstr>
      <vt:lpstr>'Takeoff Breakdown'!Print_Area</vt:lpstr>
      <vt:lpstr>'Takeoff Breakdown'!Print_Titles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NEDES</dc:creator>
  <cp:lastModifiedBy>Hamid Shahzad</cp:lastModifiedBy>
  <cp:lastPrinted>2023-01-11T20:23:43Z</cp:lastPrinted>
  <dcterms:created xsi:type="dcterms:W3CDTF">2016-03-30T11:57:46Z</dcterms:created>
  <dcterms:modified xsi:type="dcterms:W3CDTF">2026-03-13T19:26:00Z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{22CC7964-6C02-4662-ABE2-9FA994973C73}</vt:lpwstr>
  </property>
</Properties>
</file>