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66925"/>
  <xr:revisionPtr revIDLastSave="0" documentId="13_ncr:1_{BC1BB427-0A26-46BD-BB67-D7A0ACF64EC3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Bid Recap &amp; Summary" sheetId="2" r:id="rId1"/>
    <sheet name="Worksheet" sheetId="1" r:id="rId2"/>
  </sheets>
  <definedNames>
    <definedName name="_xlnm._FilterDatabase" localSheetId="0" hidden="1">'Bid Recap &amp; Summary'!$A$2:$Q$2</definedName>
    <definedName name="_xlnm._FilterDatabase" localSheetId="1" hidden="1">Worksheet!$E$35:$I$367</definedName>
    <definedName name="_xlnm.Print_Area" localSheetId="0">'Bid Recap &amp; Summary'!$A$1:$N$38</definedName>
    <definedName name="_xlnm.Print_Area" localSheetId="1">Worksheet!$A$1:$R$390</definedName>
    <definedName name="_xlnm.Print_Titles" localSheetId="1">Worksheet!$1:$7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1" l="1"/>
  <c r="J31" i="1"/>
  <c r="H31" i="1"/>
  <c r="I31" i="1" s="1"/>
  <c r="N31" i="1" s="1"/>
  <c r="O31" i="1" s="1"/>
  <c r="L30" i="1"/>
  <c r="J30" i="1"/>
  <c r="F30" i="1"/>
  <c r="F29" i="1"/>
  <c r="H29" i="1" s="1"/>
  <c r="F28" i="1"/>
  <c r="H28" i="1" s="1"/>
  <c r="L27" i="1"/>
  <c r="J27" i="1"/>
  <c r="F27" i="1"/>
  <c r="H27" i="1" s="1"/>
  <c r="I27" i="1" s="1"/>
  <c r="N27" i="1" s="1"/>
  <c r="O27" i="1" s="1"/>
  <c r="L26" i="1"/>
  <c r="J26" i="1"/>
  <c r="F26" i="1"/>
  <c r="F25" i="1"/>
  <c r="L25" i="1" s="1"/>
  <c r="H24" i="1"/>
  <c r="F24" i="1"/>
  <c r="J23" i="1"/>
  <c r="H23" i="1"/>
  <c r="I23" i="1" s="1"/>
  <c r="N23" i="1" s="1"/>
  <c r="F23" i="1"/>
  <c r="L23" i="1" s="1"/>
  <c r="F22" i="1"/>
  <c r="L22" i="1" s="1"/>
  <c r="F21" i="1"/>
  <c r="L21" i="1" s="1"/>
  <c r="L20" i="1"/>
  <c r="J20" i="1"/>
  <c r="K20" i="1" s="1"/>
  <c r="H20" i="1"/>
  <c r="I20" i="1" s="1"/>
  <c r="N20" i="1" s="1"/>
  <c r="F375" i="1"/>
  <c r="L375" i="1" s="1"/>
  <c r="F374" i="1"/>
  <c r="H373" i="1"/>
  <c r="I373" i="1" s="1"/>
  <c r="K373" i="1" s="1"/>
  <c r="F373" i="1"/>
  <c r="H376" i="1"/>
  <c r="I376" i="1"/>
  <c r="J376" i="1"/>
  <c r="K376" i="1"/>
  <c r="L376" i="1"/>
  <c r="M376" i="1"/>
  <c r="N376" i="1"/>
  <c r="O376" i="1"/>
  <c r="P376" i="1"/>
  <c r="Q376" i="1"/>
  <c r="O23" i="1" l="1"/>
  <c r="J22" i="1"/>
  <c r="L29" i="1"/>
  <c r="P20" i="1"/>
  <c r="Q20" i="1" s="1"/>
  <c r="O20" i="1"/>
  <c r="K27" i="1"/>
  <c r="P27" i="1" s="1"/>
  <c r="Q27" i="1" s="1"/>
  <c r="K23" i="1"/>
  <c r="P23" i="1" s="1"/>
  <c r="Q23" i="1" s="1"/>
  <c r="K31" i="1"/>
  <c r="P31" i="1" s="1"/>
  <c r="Q31" i="1" s="1"/>
  <c r="I24" i="1"/>
  <c r="N24" i="1" s="1"/>
  <c r="O24" i="1" s="1"/>
  <c r="I28" i="1"/>
  <c r="N28" i="1" s="1"/>
  <c r="O28" i="1" s="1"/>
  <c r="H21" i="1"/>
  <c r="I21" i="1" s="1"/>
  <c r="N21" i="1" s="1"/>
  <c r="O21" i="1" s="1"/>
  <c r="J24" i="1"/>
  <c r="H25" i="1"/>
  <c r="I25" i="1" s="1"/>
  <c r="J28" i="1"/>
  <c r="K28" i="1" s="1"/>
  <c r="I29" i="1"/>
  <c r="N29" i="1" s="1"/>
  <c r="O29" i="1" s="1"/>
  <c r="J21" i="1"/>
  <c r="H22" i="1"/>
  <c r="I22" i="1" s="1"/>
  <c r="L24" i="1"/>
  <c r="J25" i="1"/>
  <c r="H26" i="1"/>
  <c r="I26" i="1" s="1"/>
  <c r="L28" i="1"/>
  <c r="J29" i="1"/>
  <c r="H30" i="1"/>
  <c r="I30" i="1" s="1"/>
  <c r="H375" i="1"/>
  <c r="I375" i="1" s="1"/>
  <c r="K375" i="1" s="1"/>
  <c r="L373" i="1"/>
  <c r="H374" i="1"/>
  <c r="I374" i="1"/>
  <c r="N374" i="1" s="1"/>
  <c r="O374" i="1" s="1"/>
  <c r="N373" i="1"/>
  <c r="O373" i="1" s="1"/>
  <c r="P373" i="1" s="1"/>
  <c r="Q373" i="1" s="1"/>
  <c r="L374" i="1"/>
  <c r="N25" i="1" l="1"/>
  <c r="O25" i="1" s="1"/>
  <c r="K25" i="1"/>
  <c r="P25" i="1" s="1"/>
  <c r="Q25" i="1" s="1"/>
  <c r="K24" i="1"/>
  <c r="P28" i="1"/>
  <c r="Q28" i="1" s="1"/>
  <c r="N22" i="1"/>
  <c r="O22" i="1" s="1"/>
  <c r="K22" i="1"/>
  <c r="K21" i="1"/>
  <c r="P21" i="1" s="1"/>
  <c r="Q21" i="1" s="1"/>
  <c r="N30" i="1"/>
  <c r="O30" i="1" s="1"/>
  <c r="K30" i="1"/>
  <c r="N26" i="1"/>
  <c r="O26" i="1" s="1"/>
  <c r="K26" i="1"/>
  <c r="P24" i="1"/>
  <c r="Q24" i="1" s="1"/>
  <c r="K29" i="1"/>
  <c r="P29" i="1" s="1"/>
  <c r="Q29" i="1" s="1"/>
  <c r="N375" i="1"/>
  <c r="O375" i="1" s="1"/>
  <c r="P375" i="1" s="1"/>
  <c r="Q375" i="1" s="1"/>
  <c r="K374" i="1"/>
  <c r="P374" i="1" s="1"/>
  <c r="Q374" i="1" s="1"/>
  <c r="P30" i="1" l="1"/>
  <c r="Q30" i="1" s="1"/>
  <c r="P26" i="1"/>
  <c r="Q26" i="1" s="1"/>
  <c r="P22" i="1"/>
  <c r="Q22" i="1" s="1"/>
  <c r="L371" i="1" l="1"/>
  <c r="I371" i="1"/>
  <c r="K371" i="1" s="1"/>
  <c r="L370" i="1"/>
  <c r="I370" i="1"/>
  <c r="N370" i="1" s="1"/>
  <c r="O370" i="1" s="1"/>
  <c r="L366" i="1"/>
  <c r="J366" i="1"/>
  <c r="I366" i="1"/>
  <c r="N366" i="1" s="1"/>
  <c r="M330" i="1"/>
  <c r="J330" i="1"/>
  <c r="M321" i="1"/>
  <c r="J321" i="1"/>
  <c r="M177" i="1"/>
  <c r="J177" i="1"/>
  <c r="M338" i="1"/>
  <c r="J338" i="1"/>
  <c r="M262" i="1"/>
  <c r="J262" i="1"/>
  <c r="M99" i="1"/>
  <c r="J99" i="1"/>
  <c r="M86" i="1"/>
  <c r="J86" i="1"/>
  <c r="M74" i="1"/>
  <c r="J74" i="1"/>
  <c r="L56" i="1"/>
  <c r="J56" i="1"/>
  <c r="I56" i="1"/>
  <c r="N56" i="1" s="1"/>
  <c r="J42" i="1"/>
  <c r="J325" i="1"/>
  <c r="J190" i="1"/>
  <c r="J181" i="1"/>
  <c r="J116" i="1"/>
  <c r="M359" i="1"/>
  <c r="J359" i="1"/>
  <c r="M249" i="1"/>
  <c r="J249" i="1"/>
  <c r="M297" i="1"/>
  <c r="J297" i="1"/>
  <c r="M39" i="1"/>
  <c r="J39" i="1"/>
  <c r="M53" i="1"/>
  <c r="J53" i="1"/>
  <c r="M155" i="1"/>
  <c r="J155" i="1"/>
  <c r="M305" i="1"/>
  <c r="J305" i="1"/>
  <c r="M290" i="1"/>
  <c r="J290" i="1"/>
  <c r="M274" i="1"/>
  <c r="J274" i="1"/>
  <c r="M242" i="1"/>
  <c r="J242" i="1"/>
  <c r="M234" i="1"/>
  <c r="J234" i="1"/>
  <c r="M226" i="1"/>
  <c r="J226" i="1"/>
  <c r="M211" i="1"/>
  <c r="J211" i="1"/>
  <c r="M186" i="1"/>
  <c r="J186" i="1"/>
  <c r="M147" i="1"/>
  <c r="J147" i="1"/>
  <c r="M121" i="1"/>
  <c r="J121" i="1"/>
  <c r="M112" i="1"/>
  <c r="J112" i="1"/>
  <c r="M203" i="1"/>
  <c r="J203" i="1"/>
  <c r="M195" i="1"/>
  <c r="J195" i="1"/>
  <c r="M352" i="1"/>
  <c r="J352" i="1"/>
  <c r="M312" i="1"/>
  <c r="J312" i="1"/>
  <c r="M282" i="1"/>
  <c r="J282" i="1"/>
  <c r="M218" i="1"/>
  <c r="J218" i="1"/>
  <c r="M169" i="1"/>
  <c r="J169" i="1"/>
  <c r="M139" i="1"/>
  <c r="J139" i="1"/>
  <c r="M130" i="1"/>
  <c r="J130" i="1"/>
  <c r="J342" i="1"/>
  <c r="J266" i="1"/>
  <c r="J253" i="1"/>
  <c r="J159" i="1"/>
  <c r="J103" i="1"/>
  <c r="J90" i="1"/>
  <c r="J78" i="1"/>
  <c r="J67" i="1"/>
  <c r="J58" i="1"/>
  <c r="J44" i="1"/>
  <c r="J344" i="1"/>
  <c r="J268" i="1"/>
  <c r="J256" i="1"/>
  <c r="J163" i="1"/>
  <c r="J105" i="1"/>
  <c r="J92" i="1"/>
  <c r="J80" i="1"/>
  <c r="J69" i="1"/>
  <c r="J61" i="1"/>
  <c r="J47" i="1"/>
  <c r="N371" i="1" l="1"/>
  <c r="O371" i="1" s="1"/>
  <c r="O366" i="1"/>
  <c r="P371" i="1"/>
  <c r="Q371" i="1" s="1"/>
  <c r="K370" i="1"/>
  <c r="P370" i="1" s="1"/>
  <c r="Q370" i="1" s="1"/>
  <c r="K366" i="1"/>
  <c r="K56" i="1"/>
  <c r="O56" i="1"/>
  <c r="P366" i="1" l="1"/>
  <c r="Q366" i="1" s="1"/>
  <c r="P56" i="1"/>
  <c r="Q56" i="1" s="1"/>
  <c r="A247" i="1" l="1"/>
  <c r="A320" i="1"/>
  <c r="A321" i="1"/>
  <c r="A322" i="1"/>
  <c r="A323" i="1"/>
  <c r="A324" i="1"/>
  <c r="A325" i="1"/>
  <c r="A326" i="1"/>
  <c r="A327" i="1"/>
  <c r="A328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329" i="1"/>
  <c r="A330" i="1"/>
  <c r="A331" i="1"/>
  <c r="A332" i="1"/>
  <c r="A333" i="1"/>
  <c r="A334" i="1"/>
  <c r="A335" i="1"/>
  <c r="A336" i="1"/>
  <c r="A194" i="1"/>
  <c r="A195" i="1"/>
  <c r="A196" i="1"/>
  <c r="A197" i="1"/>
  <c r="A198" i="1"/>
  <c r="A199" i="1"/>
  <c r="A200" i="1"/>
  <c r="A201" i="1"/>
  <c r="A120" i="1"/>
  <c r="A121" i="1"/>
  <c r="A122" i="1"/>
  <c r="A123" i="1"/>
  <c r="A124" i="1"/>
  <c r="A125" i="1"/>
  <c r="A126" i="1"/>
  <c r="A127" i="1"/>
  <c r="A128" i="1"/>
  <c r="A311" i="1"/>
  <c r="A312" i="1"/>
  <c r="A313" i="1"/>
  <c r="A314" i="1"/>
  <c r="A315" i="1"/>
  <c r="A316" i="1"/>
  <c r="A317" i="1"/>
  <c r="A318" i="1"/>
  <c r="A31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F363" i="1"/>
  <c r="F362" i="1"/>
  <c r="F361" i="1"/>
  <c r="F360" i="1"/>
  <c r="F359" i="1"/>
  <c r="F356" i="1"/>
  <c r="F355" i="1"/>
  <c r="F354" i="1"/>
  <c r="F353" i="1"/>
  <c r="F352" i="1"/>
  <c r="F315" i="1"/>
  <c r="F316" i="1"/>
  <c r="F314" i="1"/>
  <c r="F313" i="1"/>
  <c r="F312" i="1"/>
  <c r="F318" i="1"/>
  <c r="F317" i="1"/>
  <c r="F124" i="1"/>
  <c r="F127" i="1"/>
  <c r="F126" i="1"/>
  <c r="F125" i="1"/>
  <c r="F123" i="1"/>
  <c r="F122" i="1"/>
  <c r="F121" i="1"/>
  <c r="F200" i="1"/>
  <c r="F199" i="1"/>
  <c r="F198" i="1"/>
  <c r="F197" i="1"/>
  <c r="F196" i="1"/>
  <c r="F195" i="1"/>
  <c r="F335" i="1"/>
  <c r="F334" i="1"/>
  <c r="F333" i="1"/>
  <c r="F332" i="1"/>
  <c r="F331" i="1"/>
  <c r="F330" i="1"/>
  <c r="F192" i="1"/>
  <c r="F191" i="1"/>
  <c r="F190" i="1"/>
  <c r="F189" i="1"/>
  <c r="F188" i="1"/>
  <c r="F187" i="1"/>
  <c r="F186" i="1"/>
  <c r="F182" i="1"/>
  <c r="F181" i="1"/>
  <c r="F180" i="1"/>
  <c r="F179" i="1"/>
  <c r="F178" i="1"/>
  <c r="F177" i="1"/>
  <c r="F183" i="1"/>
  <c r="F327" i="1"/>
  <c r="F326" i="1"/>
  <c r="F325" i="1"/>
  <c r="F324" i="1"/>
  <c r="F323" i="1"/>
  <c r="F322" i="1"/>
  <c r="F321" i="1"/>
  <c r="F246" i="1"/>
  <c r="F245" i="1"/>
  <c r="F244" i="1"/>
  <c r="F243" i="1"/>
  <c r="F242" i="1"/>
  <c r="A246" i="1"/>
  <c r="A245" i="1"/>
  <c r="A244" i="1"/>
  <c r="A243" i="1"/>
  <c r="A242" i="1"/>
  <c r="A241" i="1"/>
  <c r="F152" i="1"/>
  <c r="F151" i="1"/>
  <c r="F150" i="1"/>
  <c r="F149" i="1"/>
  <c r="F148" i="1"/>
  <c r="F147" i="1"/>
  <c r="A152" i="1"/>
  <c r="A150" i="1"/>
  <c r="A149" i="1"/>
  <c r="A148" i="1"/>
  <c r="A147" i="1"/>
  <c r="A146" i="1"/>
  <c r="F239" i="1"/>
  <c r="F238" i="1"/>
  <c r="F237" i="1"/>
  <c r="F236" i="1"/>
  <c r="F235" i="1"/>
  <c r="F234" i="1"/>
  <c r="A239" i="1"/>
  <c r="A237" i="1"/>
  <c r="A236" i="1"/>
  <c r="A235" i="1"/>
  <c r="A234" i="1"/>
  <c r="A233" i="1"/>
  <c r="F208" i="1"/>
  <c r="F207" i="1"/>
  <c r="F206" i="1"/>
  <c r="F205" i="1"/>
  <c r="F204" i="1"/>
  <c r="F203" i="1"/>
  <c r="A208" i="1"/>
  <c r="A206" i="1"/>
  <c r="A205" i="1"/>
  <c r="A204" i="1"/>
  <c r="A203" i="1"/>
  <c r="A202" i="1"/>
  <c r="F231" i="1"/>
  <c r="F230" i="1"/>
  <c r="F229" i="1"/>
  <c r="F228" i="1"/>
  <c r="F227" i="1"/>
  <c r="F226" i="1"/>
  <c r="A231" i="1"/>
  <c r="A229" i="1"/>
  <c r="A228" i="1"/>
  <c r="A227" i="1"/>
  <c r="A226" i="1"/>
  <c r="A225" i="1"/>
  <c r="F215" i="1"/>
  <c r="F214" i="1"/>
  <c r="F213" i="1"/>
  <c r="F212" i="1"/>
  <c r="F211" i="1"/>
  <c r="A215" i="1"/>
  <c r="A214" i="1"/>
  <c r="A213" i="1"/>
  <c r="A212" i="1"/>
  <c r="A211" i="1"/>
  <c r="A210" i="1"/>
  <c r="F278" i="1"/>
  <c r="F277" i="1"/>
  <c r="F276" i="1"/>
  <c r="F275" i="1"/>
  <c r="F274" i="1"/>
  <c r="F279" i="1"/>
  <c r="A279" i="1"/>
  <c r="A277" i="1"/>
  <c r="A276" i="1"/>
  <c r="A275" i="1"/>
  <c r="A274" i="1"/>
  <c r="A273" i="1"/>
  <c r="F287" i="1"/>
  <c r="F286" i="1"/>
  <c r="F285" i="1"/>
  <c r="F284" i="1"/>
  <c r="F283" i="1"/>
  <c r="F282" i="1"/>
  <c r="A287" i="1"/>
  <c r="A286" i="1"/>
  <c r="A285" i="1"/>
  <c r="A284" i="1"/>
  <c r="A283" i="1"/>
  <c r="A282" i="1"/>
  <c r="A281" i="1"/>
  <c r="F294" i="1"/>
  <c r="F293" i="1"/>
  <c r="F292" i="1"/>
  <c r="F291" i="1"/>
  <c r="F290" i="1"/>
  <c r="A294" i="1"/>
  <c r="A293" i="1"/>
  <c r="A292" i="1"/>
  <c r="A291" i="1"/>
  <c r="A290" i="1"/>
  <c r="A289" i="1"/>
  <c r="F174" i="1"/>
  <c r="F173" i="1"/>
  <c r="F172" i="1"/>
  <c r="F171" i="1"/>
  <c r="F170" i="1"/>
  <c r="F169" i="1"/>
  <c r="A174" i="1"/>
  <c r="A173" i="1"/>
  <c r="A172" i="1"/>
  <c r="A171" i="1"/>
  <c r="A170" i="1"/>
  <c r="A169" i="1"/>
  <c r="A168" i="1"/>
  <c r="F309" i="1"/>
  <c r="F308" i="1"/>
  <c r="F307" i="1"/>
  <c r="F306" i="1"/>
  <c r="F305" i="1"/>
  <c r="A309" i="1"/>
  <c r="A308" i="1"/>
  <c r="A307" i="1"/>
  <c r="A306" i="1"/>
  <c r="A305" i="1"/>
  <c r="A304" i="1"/>
  <c r="F223" i="1"/>
  <c r="F222" i="1"/>
  <c r="F221" i="1"/>
  <c r="F220" i="1"/>
  <c r="F219" i="1"/>
  <c r="F218" i="1"/>
  <c r="A223" i="1"/>
  <c r="A222" i="1"/>
  <c r="A221" i="1"/>
  <c r="A220" i="1"/>
  <c r="A219" i="1"/>
  <c r="A218" i="1"/>
  <c r="A217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73" i="1"/>
  <c r="A74" i="1"/>
  <c r="A75" i="1"/>
  <c r="A76" i="1"/>
  <c r="A77" i="1"/>
  <c r="A78" i="1"/>
  <c r="A79" i="1"/>
  <c r="A80" i="1"/>
  <c r="A81" i="1"/>
  <c r="A82" i="1"/>
  <c r="A83" i="1"/>
  <c r="A84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96" i="1"/>
  <c r="A297" i="1"/>
  <c r="A298" i="1"/>
  <c r="A299" i="1"/>
  <c r="A300" i="1"/>
  <c r="A301" i="1"/>
  <c r="A302" i="1"/>
  <c r="A303" i="1"/>
  <c r="A111" i="1"/>
  <c r="A112" i="1"/>
  <c r="A113" i="1"/>
  <c r="A114" i="1"/>
  <c r="A115" i="1"/>
  <c r="A116" i="1"/>
  <c r="A117" i="1"/>
  <c r="A118" i="1"/>
  <c r="A119" i="1"/>
  <c r="A138" i="1"/>
  <c r="A139" i="1"/>
  <c r="A140" i="1"/>
  <c r="A141" i="1"/>
  <c r="A142" i="1"/>
  <c r="A143" i="1"/>
  <c r="A144" i="1"/>
  <c r="A145" i="1"/>
  <c r="A129" i="1"/>
  <c r="A130" i="1"/>
  <c r="A131" i="1"/>
  <c r="A132" i="1"/>
  <c r="A133" i="1"/>
  <c r="A134" i="1"/>
  <c r="A135" i="1"/>
  <c r="A136" i="1"/>
  <c r="A137" i="1"/>
  <c r="F134" i="1"/>
  <c r="F136" i="1"/>
  <c r="F135" i="1"/>
  <c r="F133" i="1"/>
  <c r="F132" i="1"/>
  <c r="F131" i="1"/>
  <c r="F130" i="1"/>
  <c r="F143" i="1"/>
  <c r="F142" i="1"/>
  <c r="F141" i="1"/>
  <c r="F140" i="1"/>
  <c r="F139" i="1"/>
  <c r="F144" i="1"/>
  <c r="F113" i="1"/>
  <c r="F115" i="1"/>
  <c r="F116" i="1"/>
  <c r="F118" i="1"/>
  <c r="F117" i="1"/>
  <c r="F114" i="1"/>
  <c r="F112" i="1"/>
  <c r="F301" i="1"/>
  <c r="F300" i="1"/>
  <c r="F299" i="1"/>
  <c r="F298" i="1"/>
  <c r="F297" i="1"/>
  <c r="F302" i="1"/>
  <c r="F271" i="1"/>
  <c r="F270" i="1"/>
  <c r="F269" i="1"/>
  <c r="F268" i="1"/>
  <c r="F266" i="1"/>
  <c r="F267" i="1"/>
  <c r="F265" i="1"/>
  <c r="F264" i="1"/>
  <c r="F263" i="1"/>
  <c r="F262" i="1"/>
  <c r="F83" i="1"/>
  <c r="F82" i="1"/>
  <c r="F81" i="1"/>
  <c r="F80" i="1"/>
  <c r="F79" i="1"/>
  <c r="F78" i="1"/>
  <c r="F77" i="1"/>
  <c r="F76" i="1"/>
  <c r="F75" i="1"/>
  <c r="F74" i="1"/>
  <c r="F96" i="1"/>
  <c r="F89" i="1"/>
  <c r="F348" i="1"/>
  <c r="F109" i="1"/>
  <c r="F102" i="1"/>
  <c r="F347" i="1"/>
  <c r="F346" i="1"/>
  <c r="F345" i="1"/>
  <c r="F344" i="1"/>
  <c r="F343" i="1"/>
  <c r="F342" i="1"/>
  <c r="F341" i="1"/>
  <c r="F340" i="1"/>
  <c r="F339" i="1"/>
  <c r="F338" i="1"/>
  <c r="F108" i="1"/>
  <c r="F107" i="1"/>
  <c r="F106" i="1"/>
  <c r="F105" i="1"/>
  <c r="F104" i="1"/>
  <c r="F103" i="1"/>
  <c r="F101" i="1"/>
  <c r="F100" i="1"/>
  <c r="F99" i="1"/>
  <c r="F95" i="1"/>
  <c r="F94" i="1"/>
  <c r="F93" i="1"/>
  <c r="F92" i="1"/>
  <c r="F91" i="1"/>
  <c r="F90" i="1"/>
  <c r="F88" i="1"/>
  <c r="F87" i="1"/>
  <c r="F86" i="1"/>
  <c r="F71" i="1"/>
  <c r="F70" i="1"/>
  <c r="F69" i="1"/>
  <c r="F68" i="1"/>
  <c r="F67" i="1"/>
  <c r="F165" i="1"/>
  <c r="F164" i="1"/>
  <c r="F163" i="1"/>
  <c r="F162" i="1"/>
  <c r="F50" i="1"/>
  <c r="F49" i="1"/>
  <c r="F48" i="1"/>
  <c r="F47" i="1"/>
  <c r="F46" i="1"/>
  <c r="F259" i="1"/>
  <c r="F258" i="1"/>
  <c r="F257" i="1"/>
  <c r="F256" i="1"/>
  <c r="F255" i="1"/>
  <c r="F62" i="1"/>
  <c r="F63" i="1"/>
  <c r="F61" i="1"/>
  <c r="F60" i="1"/>
  <c r="F64" i="1"/>
  <c r="F59" i="1"/>
  <c r="F58" i="1"/>
  <c r="F57" i="1"/>
  <c r="F55" i="1"/>
  <c r="F54" i="1"/>
  <c r="F53" i="1"/>
  <c r="F254" i="1"/>
  <c r="F253" i="1"/>
  <c r="F252" i="1"/>
  <c r="F251" i="1"/>
  <c r="F250" i="1"/>
  <c r="F249" i="1"/>
  <c r="F42" i="1"/>
  <c r="F45" i="1"/>
  <c r="F44" i="1"/>
  <c r="F43" i="1"/>
  <c r="F41" i="1"/>
  <c r="F40" i="1"/>
  <c r="F39" i="1"/>
  <c r="F166" i="1"/>
  <c r="F161" i="1"/>
  <c r="F160" i="1"/>
  <c r="F159" i="1"/>
  <c r="F158" i="1"/>
  <c r="F157" i="1"/>
  <c r="F156" i="1"/>
  <c r="F155" i="1"/>
  <c r="L42" i="1" l="1"/>
  <c r="I42" i="1"/>
  <c r="N42" i="1" s="1"/>
  <c r="O42" i="1" s="1"/>
  <c r="L334" i="1"/>
  <c r="I334" i="1"/>
  <c r="N334" i="1" s="1"/>
  <c r="L160" i="1"/>
  <c r="I160" i="1"/>
  <c r="K160" i="1" s="1"/>
  <c r="L124" i="1"/>
  <c r="I124" i="1"/>
  <c r="N124" i="1" s="1"/>
  <c r="O124" i="1" s="1"/>
  <c r="L50" i="1"/>
  <c r="I50" i="1"/>
  <c r="K50" i="1" s="1"/>
  <c r="L96" i="1"/>
  <c r="I96" i="1"/>
  <c r="N96" i="1" s="1"/>
  <c r="L279" i="1"/>
  <c r="I279" i="1"/>
  <c r="N279" i="1" s="1"/>
  <c r="L215" i="1"/>
  <c r="I215" i="1"/>
  <c r="N215" i="1" s="1"/>
  <c r="O215" i="1" s="1"/>
  <c r="L208" i="1"/>
  <c r="I208" i="1"/>
  <c r="K208" i="1" s="1"/>
  <c r="L152" i="1"/>
  <c r="I152" i="1"/>
  <c r="N152" i="1" s="1"/>
  <c r="L192" i="1"/>
  <c r="I192" i="1"/>
  <c r="K192" i="1" s="1"/>
  <c r="I259" i="1"/>
  <c r="K259" i="1" s="1"/>
  <c r="L259" i="1"/>
  <c r="L223" i="1"/>
  <c r="I223" i="1"/>
  <c r="N223" i="1" s="1"/>
  <c r="I174" i="1"/>
  <c r="K174" i="1" s="1"/>
  <c r="L174" i="1"/>
  <c r="L287" i="1"/>
  <c r="I287" i="1"/>
  <c r="N287" i="1" s="1"/>
  <c r="L246" i="1"/>
  <c r="I246" i="1"/>
  <c r="N246" i="1" s="1"/>
  <c r="L183" i="1"/>
  <c r="I183" i="1"/>
  <c r="K183" i="1" s="1"/>
  <c r="L64" i="1"/>
  <c r="I64" i="1"/>
  <c r="N64" i="1" s="1"/>
  <c r="L144" i="1"/>
  <c r="I144" i="1"/>
  <c r="N144" i="1" s="1"/>
  <c r="O144" i="1" s="1"/>
  <c r="I166" i="1"/>
  <c r="N166" i="1" s="1"/>
  <c r="L166" i="1"/>
  <c r="I271" i="1"/>
  <c r="K271" i="1" s="1"/>
  <c r="L271" i="1"/>
  <c r="L309" i="1"/>
  <c r="I309" i="1"/>
  <c r="N309" i="1" s="1"/>
  <c r="L294" i="1"/>
  <c r="I294" i="1"/>
  <c r="N294" i="1" s="1"/>
  <c r="I231" i="1"/>
  <c r="N231" i="1" s="1"/>
  <c r="L231" i="1"/>
  <c r="I239" i="1"/>
  <c r="N239" i="1" s="1"/>
  <c r="L239" i="1"/>
  <c r="L200" i="1"/>
  <c r="I200" i="1"/>
  <c r="K200" i="1" s="1"/>
  <c r="L363" i="1"/>
  <c r="I363" i="1"/>
  <c r="N363" i="1" s="1"/>
  <c r="O363" i="1" s="1"/>
  <c r="L356" i="1"/>
  <c r="I356" i="1"/>
  <c r="N356" i="1" s="1"/>
  <c r="I83" i="1"/>
  <c r="N83" i="1" s="1"/>
  <c r="L83" i="1"/>
  <c r="L327" i="1"/>
  <c r="I327" i="1"/>
  <c r="K327" i="1" s="1"/>
  <c r="L127" i="1"/>
  <c r="I127" i="1"/>
  <c r="K127" i="1" s="1"/>
  <c r="L109" i="1"/>
  <c r="I109" i="1"/>
  <c r="K109" i="1" s="1"/>
  <c r="L302" i="1"/>
  <c r="I302" i="1"/>
  <c r="N302" i="1" s="1"/>
  <c r="O302" i="1" s="1"/>
  <c r="L136" i="1"/>
  <c r="I136" i="1"/>
  <c r="K136" i="1" s="1"/>
  <c r="I318" i="1"/>
  <c r="K318" i="1" s="1"/>
  <c r="L318" i="1"/>
  <c r="L348" i="1"/>
  <c r="I348" i="1"/>
  <c r="N348" i="1" s="1"/>
  <c r="I118" i="1"/>
  <c r="K118" i="1" s="1"/>
  <c r="L118" i="1"/>
  <c r="I335" i="1"/>
  <c r="K335" i="1" s="1"/>
  <c r="L335" i="1"/>
  <c r="L100" i="1"/>
  <c r="I100" i="1"/>
  <c r="K100" i="1" s="1"/>
  <c r="I75" i="1"/>
  <c r="K75" i="1" s="1"/>
  <c r="L75" i="1"/>
  <c r="L331" i="1"/>
  <c r="I331" i="1"/>
  <c r="N331" i="1" s="1"/>
  <c r="L263" i="1"/>
  <c r="I263" i="1"/>
  <c r="N263" i="1" s="1"/>
  <c r="L322" i="1"/>
  <c r="I322" i="1"/>
  <c r="K322" i="1" s="1"/>
  <c r="L178" i="1"/>
  <c r="I178" i="1"/>
  <c r="K178" i="1" s="1"/>
  <c r="I87" i="1"/>
  <c r="N87" i="1" s="1"/>
  <c r="L87" i="1"/>
  <c r="I339" i="1"/>
  <c r="N339" i="1" s="1"/>
  <c r="L339" i="1"/>
  <c r="L330" i="1"/>
  <c r="I330" i="1"/>
  <c r="K330" i="1" s="1"/>
  <c r="L321" i="1"/>
  <c r="I321" i="1"/>
  <c r="K321" i="1" s="1"/>
  <c r="L177" i="1"/>
  <c r="I177" i="1"/>
  <c r="N177" i="1" s="1"/>
  <c r="L338" i="1"/>
  <c r="I338" i="1"/>
  <c r="K338" i="1" s="1"/>
  <c r="L99" i="1"/>
  <c r="I99" i="1"/>
  <c r="N99" i="1" s="1"/>
  <c r="L262" i="1"/>
  <c r="I262" i="1"/>
  <c r="K262" i="1" s="1"/>
  <c r="I86" i="1"/>
  <c r="K86" i="1" s="1"/>
  <c r="L86" i="1"/>
  <c r="I74" i="1"/>
  <c r="N74" i="1" s="1"/>
  <c r="L74" i="1"/>
  <c r="I88" i="1"/>
  <c r="N88" i="1" s="1"/>
  <c r="L88" i="1"/>
  <c r="L332" i="1"/>
  <c r="I332" i="1"/>
  <c r="N332" i="1" s="1"/>
  <c r="L340" i="1"/>
  <c r="I340" i="1"/>
  <c r="N340" i="1" s="1"/>
  <c r="I264" i="1"/>
  <c r="N264" i="1" s="1"/>
  <c r="L264" i="1"/>
  <c r="L101" i="1"/>
  <c r="I101" i="1"/>
  <c r="N101" i="1" s="1"/>
  <c r="L76" i="1"/>
  <c r="I76" i="1"/>
  <c r="N76" i="1" s="1"/>
  <c r="L323" i="1"/>
  <c r="I323" i="1"/>
  <c r="N323" i="1" s="1"/>
  <c r="L179" i="1"/>
  <c r="I179" i="1"/>
  <c r="K179" i="1" s="1"/>
  <c r="L347" i="1"/>
  <c r="I347" i="1"/>
  <c r="N347" i="1" s="1"/>
  <c r="L95" i="1"/>
  <c r="I95" i="1"/>
  <c r="K95" i="1" s="1"/>
  <c r="L108" i="1"/>
  <c r="I108" i="1"/>
  <c r="K108" i="1" s="1"/>
  <c r="L252" i="1"/>
  <c r="I252" i="1"/>
  <c r="N252" i="1" s="1"/>
  <c r="L89" i="1"/>
  <c r="I89" i="1"/>
  <c r="N89" i="1" s="1"/>
  <c r="L221" i="1"/>
  <c r="I221" i="1"/>
  <c r="N221" i="1" s="1"/>
  <c r="L43" i="1"/>
  <c r="I43" i="1"/>
  <c r="N43" i="1" s="1"/>
  <c r="L125" i="1"/>
  <c r="I125" i="1"/>
  <c r="N125" i="1" s="1"/>
  <c r="L300" i="1"/>
  <c r="I300" i="1"/>
  <c r="N300" i="1" s="1"/>
  <c r="I316" i="1"/>
  <c r="K316" i="1" s="1"/>
  <c r="L316" i="1"/>
  <c r="I229" i="1"/>
  <c r="N229" i="1" s="1"/>
  <c r="L229" i="1"/>
  <c r="I237" i="1"/>
  <c r="N237" i="1" s="1"/>
  <c r="L237" i="1"/>
  <c r="L245" i="1"/>
  <c r="I245" i="1"/>
  <c r="K245" i="1" s="1"/>
  <c r="L198" i="1"/>
  <c r="I198" i="1"/>
  <c r="N198" i="1" s="1"/>
  <c r="I158" i="1"/>
  <c r="N158" i="1" s="1"/>
  <c r="L158" i="1"/>
  <c r="L308" i="1"/>
  <c r="I308" i="1"/>
  <c r="N308" i="1" s="1"/>
  <c r="L293" i="1"/>
  <c r="I293" i="1"/>
  <c r="N293" i="1" s="1"/>
  <c r="L362" i="1"/>
  <c r="I362" i="1"/>
  <c r="N362" i="1" s="1"/>
  <c r="L324" i="1"/>
  <c r="I324" i="1"/>
  <c r="N324" i="1" s="1"/>
  <c r="L115" i="1"/>
  <c r="I115" i="1"/>
  <c r="N115" i="1" s="1"/>
  <c r="L133" i="1"/>
  <c r="I133" i="1"/>
  <c r="N133" i="1" s="1"/>
  <c r="L102" i="1"/>
  <c r="I102" i="1"/>
  <c r="K102" i="1" s="1"/>
  <c r="L77" i="1"/>
  <c r="I77" i="1"/>
  <c r="N77" i="1" s="1"/>
  <c r="L277" i="1"/>
  <c r="I277" i="1"/>
  <c r="N277" i="1" s="1"/>
  <c r="L333" i="1"/>
  <c r="I333" i="1"/>
  <c r="N333" i="1" s="1"/>
  <c r="I172" i="1"/>
  <c r="N172" i="1" s="1"/>
  <c r="L172" i="1"/>
  <c r="L285" i="1"/>
  <c r="I285" i="1"/>
  <c r="K285" i="1" s="1"/>
  <c r="I214" i="1"/>
  <c r="K214" i="1" s="1"/>
  <c r="L214" i="1"/>
  <c r="L57" i="1"/>
  <c r="I57" i="1"/>
  <c r="N57" i="1" s="1"/>
  <c r="I341" i="1"/>
  <c r="N341" i="1" s="1"/>
  <c r="L341" i="1"/>
  <c r="I189" i="1"/>
  <c r="N189" i="1" s="1"/>
  <c r="L189" i="1"/>
  <c r="L180" i="1"/>
  <c r="I180" i="1"/>
  <c r="K180" i="1" s="1"/>
  <c r="I265" i="1"/>
  <c r="N265" i="1" s="1"/>
  <c r="L265" i="1"/>
  <c r="I142" i="1"/>
  <c r="K142" i="1" s="1"/>
  <c r="L142" i="1"/>
  <c r="L206" i="1"/>
  <c r="I206" i="1"/>
  <c r="K206" i="1" s="1"/>
  <c r="L150" i="1"/>
  <c r="I150" i="1"/>
  <c r="N150" i="1" s="1"/>
  <c r="L355" i="1"/>
  <c r="I355" i="1"/>
  <c r="K355" i="1" s="1"/>
  <c r="I325" i="1"/>
  <c r="N325" i="1" s="1"/>
  <c r="L325" i="1"/>
  <c r="L181" i="1"/>
  <c r="I181" i="1"/>
  <c r="N181" i="1" s="1"/>
  <c r="L116" i="1"/>
  <c r="I116" i="1"/>
  <c r="N116" i="1" s="1"/>
  <c r="L190" i="1"/>
  <c r="I190" i="1"/>
  <c r="N190" i="1" s="1"/>
  <c r="L235" i="1"/>
  <c r="I235" i="1"/>
  <c r="N235" i="1" s="1"/>
  <c r="I243" i="1"/>
  <c r="N243" i="1" s="1"/>
  <c r="L243" i="1"/>
  <c r="L196" i="1"/>
  <c r="I196" i="1"/>
  <c r="N196" i="1" s="1"/>
  <c r="L113" i="1"/>
  <c r="I113" i="1"/>
  <c r="N113" i="1" s="1"/>
  <c r="L131" i="1"/>
  <c r="I131" i="1"/>
  <c r="N131" i="1" s="1"/>
  <c r="L306" i="1"/>
  <c r="I306" i="1"/>
  <c r="K306" i="1" s="1"/>
  <c r="L291" i="1"/>
  <c r="I291" i="1"/>
  <c r="N291" i="1" s="1"/>
  <c r="L360" i="1"/>
  <c r="I360" i="1"/>
  <c r="K360" i="1" s="1"/>
  <c r="L275" i="1"/>
  <c r="I275" i="1"/>
  <c r="N275" i="1" s="1"/>
  <c r="L298" i="1"/>
  <c r="I298" i="1"/>
  <c r="K298" i="1" s="1"/>
  <c r="L313" i="1"/>
  <c r="I313" i="1"/>
  <c r="N313" i="1" s="1"/>
  <c r="L187" i="1"/>
  <c r="I187" i="1"/>
  <c r="K187" i="1" s="1"/>
  <c r="L227" i="1"/>
  <c r="I227" i="1"/>
  <c r="K227" i="1" s="1"/>
  <c r="I250" i="1"/>
  <c r="K250" i="1" s="1"/>
  <c r="L250" i="1"/>
  <c r="L140" i="1"/>
  <c r="I140" i="1"/>
  <c r="K140" i="1" s="1"/>
  <c r="L204" i="1"/>
  <c r="I204" i="1"/>
  <c r="N204" i="1" s="1"/>
  <c r="L148" i="1"/>
  <c r="I148" i="1"/>
  <c r="K148" i="1" s="1"/>
  <c r="L353" i="1"/>
  <c r="I353" i="1"/>
  <c r="N353" i="1" s="1"/>
  <c r="I54" i="1"/>
  <c r="N54" i="1" s="1"/>
  <c r="L54" i="1"/>
  <c r="L40" i="1"/>
  <c r="I40" i="1"/>
  <c r="K40" i="1" s="1"/>
  <c r="I219" i="1"/>
  <c r="K219" i="1" s="1"/>
  <c r="L219" i="1"/>
  <c r="L170" i="1"/>
  <c r="I170" i="1"/>
  <c r="N170" i="1" s="1"/>
  <c r="I283" i="1"/>
  <c r="N283" i="1" s="1"/>
  <c r="L283" i="1"/>
  <c r="I212" i="1"/>
  <c r="N212" i="1" s="1"/>
  <c r="L212" i="1"/>
  <c r="L156" i="1"/>
  <c r="I156" i="1"/>
  <c r="N156" i="1" s="1"/>
  <c r="I122" i="1"/>
  <c r="N122" i="1" s="1"/>
  <c r="L122" i="1"/>
  <c r="I359" i="1"/>
  <c r="N359" i="1" s="1"/>
  <c r="L359" i="1"/>
  <c r="L249" i="1"/>
  <c r="I249" i="1"/>
  <c r="N249" i="1" s="1"/>
  <c r="I297" i="1"/>
  <c r="K297" i="1" s="1"/>
  <c r="L297" i="1"/>
  <c r="L39" i="1"/>
  <c r="I39" i="1"/>
  <c r="N39" i="1" s="1"/>
  <c r="I53" i="1"/>
  <c r="N53" i="1" s="1"/>
  <c r="L53" i="1"/>
  <c r="L155" i="1"/>
  <c r="I155" i="1"/>
  <c r="K155" i="1" s="1"/>
  <c r="L305" i="1"/>
  <c r="I305" i="1"/>
  <c r="N305" i="1" s="1"/>
  <c r="I226" i="1"/>
  <c r="N226" i="1" s="1"/>
  <c r="L226" i="1"/>
  <c r="L234" i="1"/>
  <c r="I234" i="1"/>
  <c r="N234" i="1" s="1"/>
  <c r="I242" i="1"/>
  <c r="N242" i="1" s="1"/>
  <c r="L242" i="1"/>
  <c r="L274" i="1"/>
  <c r="I274" i="1"/>
  <c r="K274" i="1" s="1"/>
  <c r="I186" i="1"/>
  <c r="K186" i="1" s="1"/>
  <c r="L186" i="1"/>
  <c r="L147" i="1"/>
  <c r="I147" i="1"/>
  <c r="N147" i="1" s="1"/>
  <c r="L211" i="1"/>
  <c r="I211" i="1"/>
  <c r="N211" i="1" s="1"/>
  <c r="I121" i="1"/>
  <c r="K121" i="1" s="1"/>
  <c r="L121" i="1"/>
  <c r="L290" i="1"/>
  <c r="I290" i="1"/>
  <c r="N290" i="1" s="1"/>
  <c r="L112" i="1"/>
  <c r="I112" i="1"/>
  <c r="K112" i="1" s="1"/>
  <c r="L195" i="1"/>
  <c r="I195" i="1"/>
  <c r="K195" i="1" s="1"/>
  <c r="I203" i="1"/>
  <c r="N203" i="1" s="1"/>
  <c r="L203" i="1"/>
  <c r="I352" i="1"/>
  <c r="K352" i="1" s="1"/>
  <c r="L352" i="1"/>
  <c r="I130" i="1"/>
  <c r="N130" i="1" s="1"/>
  <c r="L130" i="1"/>
  <c r="L139" i="1"/>
  <c r="I139" i="1"/>
  <c r="K139" i="1" s="1"/>
  <c r="L218" i="1"/>
  <c r="I218" i="1"/>
  <c r="N218" i="1" s="1"/>
  <c r="I169" i="1"/>
  <c r="N169" i="1" s="1"/>
  <c r="L169" i="1"/>
  <c r="L282" i="1"/>
  <c r="I282" i="1"/>
  <c r="N282" i="1" s="1"/>
  <c r="L312" i="1"/>
  <c r="I312" i="1"/>
  <c r="K312" i="1" s="1"/>
  <c r="L315" i="1"/>
  <c r="I315" i="1"/>
  <c r="N315" i="1" s="1"/>
  <c r="I173" i="1"/>
  <c r="N173" i="1" s="1"/>
  <c r="L173" i="1"/>
  <c r="L286" i="1"/>
  <c r="I286" i="1"/>
  <c r="K286" i="1" s="1"/>
  <c r="I143" i="1"/>
  <c r="N143" i="1" s="1"/>
  <c r="L143" i="1"/>
  <c r="I222" i="1"/>
  <c r="K222" i="1" s="1"/>
  <c r="L222" i="1"/>
  <c r="L134" i="1"/>
  <c r="I134" i="1"/>
  <c r="N134" i="1" s="1"/>
  <c r="L228" i="1"/>
  <c r="I228" i="1"/>
  <c r="N228" i="1" s="1"/>
  <c r="I236" i="1"/>
  <c r="N236" i="1" s="1"/>
  <c r="L236" i="1"/>
  <c r="I244" i="1"/>
  <c r="N244" i="1" s="1"/>
  <c r="L244" i="1"/>
  <c r="L197" i="1"/>
  <c r="I197" i="1"/>
  <c r="N197" i="1" s="1"/>
  <c r="I55" i="1"/>
  <c r="N55" i="1" s="1"/>
  <c r="L55" i="1"/>
  <c r="L132" i="1"/>
  <c r="I132" i="1"/>
  <c r="K132" i="1" s="1"/>
  <c r="L307" i="1"/>
  <c r="I307" i="1"/>
  <c r="N307" i="1" s="1"/>
  <c r="I292" i="1"/>
  <c r="K292" i="1" s="1"/>
  <c r="L292" i="1"/>
  <c r="I361" i="1"/>
  <c r="K361" i="1" s="1"/>
  <c r="L361" i="1"/>
  <c r="I314" i="1"/>
  <c r="N314" i="1" s="1"/>
  <c r="L314" i="1"/>
  <c r="L251" i="1"/>
  <c r="I251" i="1"/>
  <c r="K251" i="1" s="1"/>
  <c r="L276" i="1"/>
  <c r="I276" i="1"/>
  <c r="N276" i="1" s="1"/>
  <c r="I123" i="1"/>
  <c r="N123" i="1" s="1"/>
  <c r="L123" i="1"/>
  <c r="L114" i="1"/>
  <c r="I114" i="1"/>
  <c r="N114" i="1" s="1"/>
  <c r="I188" i="1"/>
  <c r="K188" i="1" s="1"/>
  <c r="L188" i="1"/>
  <c r="L299" i="1"/>
  <c r="I299" i="1"/>
  <c r="K299" i="1" s="1"/>
  <c r="I157" i="1"/>
  <c r="N157" i="1" s="1"/>
  <c r="L157" i="1"/>
  <c r="L141" i="1"/>
  <c r="I141" i="1"/>
  <c r="K141" i="1" s="1"/>
  <c r="I205" i="1"/>
  <c r="N205" i="1" s="1"/>
  <c r="L205" i="1"/>
  <c r="L149" i="1"/>
  <c r="I149" i="1"/>
  <c r="N149" i="1" s="1"/>
  <c r="I354" i="1"/>
  <c r="N354" i="1" s="1"/>
  <c r="L354" i="1"/>
  <c r="L41" i="1"/>
  <c r="I41" i="1"/>
  <c r="K41" i="1" s="1"/>
  <c r="L220" i="1"/>
  <c r="I220" i="1"/>
  <c r="K220" i="1" s="1"/>
  <c r="L171" i="1"/>
  <c r="I171" i="1"/>
  <c r="N171" i="1" s="1"/>
  <c r="I284" i="1"/>
  <c r="N284" i="1" s="1"/>
  <c r="L284" i="1"/>
  <c r="L213" i="1"/>
  <c r="I213" i="1"/>
  <c r="K213" i="1" s="1"/>
  <c r="L90" i="1"/>
  <c r="I90" i="1"/>
  <c r="N90" i="1" s="1"/>
  <c r="I58" i="1"/>
  <c r="N58" i="1" s="1"/>
  <c r="L58" i="1"/>
  <c r="I103" i="1"/>
  <c r="N103" i="1" s="1"/>
  <c r="L103" i="1"/>
  <c r="L67" i="1"/>
  <c r="I67" i="1"/>
  <c r="N67" i="1" s="1"/>
  <c r="I253" i="1"/>
  <c r="N253" i="1" s="1"/>
  <c r="L253" i="1"/>
  <c r="I78" i="1"/>
  <c r="N78" i="1" s="1"/>
  <c r="L78" i="1"/>
  <c r="L266" i="1"/>
  <c r="I266" i="1"/>
  <c r="N266" i="1" s="1"/>
  <c r="L159" i="1"/>
  <c r="I159" i="1"/>
  <c r="N159" i="1" s="1"/>
  <c r="L44" i="1"/>
  <c r="I44" i="1"/>
  <c r="K44" i="1" s="1"/>
  <c r="L342" i="1"/>
  <c r="I342" i="1"/>
  <c r="N342" i="1" s="1"/>
  <c r="L151" i="1"/>
  <c r="I151" i="1"/>
  <c r="K151" i="1" s="1"/>
  <c r="L126" i="1"/>
  <c r="I126" i="1"/>
  <c r="N126" i="1" s="1"/>
  <c r="L230" i="1"/>
  <c r="I230" i="1"/>
  <c r="K230" i="1" s="1"/>
  <c r="L238" i="1"/>
  <c r="I238" i="1"/>
  <c r="N238" i="1" s="1"/>
  <c r="L135" i="1"/>
  <c r="I135" i="1"/>
  <c r="N135" i="1" s="1"/>
  <c r="I317" i="1"/>
  <c r="K317" i="1" s="1"/>
  <c r="L317" i="1"/>
  <c r="L278" i="1"/>
  <c r="I278" i="1"/>
  <c r="K278" i="1" s="1"/>
  <c r="I301" i="1"/>
  <c r="N301" i="1" s="1"/>
  <c r="L301" i="1"/>
  <c r="I207" i="1"/>
  <c r="K207" i="1" s="1"/>
  <c r="L207" i="1"/>
  <c r="L161" i="1"/>
  <c r="I161" i="1"/>
  <c r="N161" i="1" s="1"/>
  <c r="L254" i="1"/>
  <c r="I254" i="1"/>
  <c r="N254" i="1" s="1"/>
  <c r="L191" i="1"/>
  <c r="I191" i="1"/>
  <c r="K191" i="1" s="1"/>
  <c r="L326" i="1"/>
  <c r="I326" i="1"/>
  <c r="K326" i="1" s="1"/>
  <c r="L182" i="1"/>
  <c r="I182" i="1"/>
  <c r="K182" i="1" s="1"/>
  <c r="L199" i="1"/>
  <c r="I199" i="1"/>
  <c r="N199" i="1" s="1"/>
  <c r="I59" i="1"/>
  <c r="N59" i="1" s="1"/>
  <c r="L59" i="1"/>
  <c r="I117" i="1"/>
  <c r="N117" i="1" s="1"/>
  <c r="L117" i="1"/>
  <c r="I45" i="1"/>
  <c r="N45" i="1" s="1"/>
  <c r="L45" i="1"/>
  <c r="L258" i="1"/>
  <c r="I258" i="1"/>
  <c r="N258" i="1" s="1"/>
  <c r="L107" i="1"/>
  <c r="I107" i="1"/>
  <c r="K107" i="1" s="1"/>
  <c r="L165" i="1"/>
  <c r="I165" i="1"/>
  <c r="N165" i="1" s="1"/>
  <c r="L71" i="1"/>
  <c r="I71" i="1"/>
  <c r="K71" i="1" s="1"/>
  <c r="L94" i="1"/>
  <c r="I94" i="1"/>
  <c r="K94" i="1" s="1"/>
  <c r="L346" i="1"/>
  <c r="I346" i="1"/>
  <c r="N346" i="1" s="1"/>
  <c r="L63" i="1"/>
  <c r="I63" i="1"/>
  <c r="K63" i="1" s="1"/>
  <c r="L270" i="1"/>
  <c r="I270" i="1"/>
  <c r="N270" i="1" s="1"/>
  <c r="I82" i="1"/>
  <c r="K82" i="1" s="1"/>
  <c r="L82" i="1"/>
  <c r="I49" i="1"/>
  <c r="N49" i="1" s="1"/>
  <c r="L49" i="1"/>
  <c r="L80" i="1"/>
  <c r="I80" i="1"/>
  <c r="N80" i="1" s="1"/>
  <c r="L268" i="1"/>
  <c r="I268" i="1"/>
  <c r="N268" i="1" s="1"/>
  <c r="L344" i="1"/>
  <c r="I344" i="1"/>
  <c r="N344" i="1" s="1"/>
  <c r="L47" i="1"/>
  <c r="I47" i="1"/>
  <c r="N47" i="1" s="1"/>
  <c r="L69" i="1"/>
  <c r="I69" i="1"/>
  <c r="N69" i="1" s="1"/>
  <c r="I92" i="1"/>
  <c r="N92" i="1" s="1"/>
  <c r="L92" i="1"/>
  <c r="L163" i="1"/>
  <c r="I163" i="1"/>
  <c r="N163" i="1" s="1"/>
  <c r="L61" i="1"/>
  <c r="I61" i="1"/>
  <c r="N61" i="1" s="1"/>
  <c r="I256" i="1"/>
  <c r="N256" i="1" s="1"/>
  <c r="L256" i="1"/>
  <c r="L105" i="1"/>
  <c r="I105" i="1"/>
  <c r="N105" i="1" s="1"/>
  <c r="L48" i="1"/>
  <c r="I48" i="1"/>
  <c r="N48" i="1" s="1"/>
  <c r="I162" i="1"/>
  <c r="N162" i="1" s="1"/>
  <c r="L162" i="1"/>
  <c r="L267" i="1"/>
  <c r="I267" i="1"/>
  <c r="N267" i="1" s="1"/>
  <c r="L60" i="1"/>
  <c r="I60" i="1"/>
  <c r="N60" i="1" s="1"/>
  <c r="L46" i="1"/>
  <c r="I46" i="1"/>
  <c r="N46" i="1" s="1"/>
  <c r="L91" i="1"/>
  <c r="I91" i="1"/>
  <c r="N91" i="1" s="1"/>
  <c r="L343" i="1"/>
  <c r="I343" i="1"/>
  <c r="N343" i="1" s="1"/>
  <c r="L68" i="1"/>
  <c r="I68" i="1"/>
  <c r="K68" i="1" s="1"/>
  <c r="L255" i="1"/>
  <c r="I255" i="1"/>
  <c r="N255" i="1" s="1"/>
  <c r="L104" i="1"/>
  <c r="I104" i="1"/>
  <c r="K104" i="1" s="1"/>
  <c r="I79" i="1"/>
  <c r="N79" i="1" s="1"/>
  <c r="L79" i="1"/>
  <c r="L164" i="1"/>
  <c r="I164" i="1"/>
  <c r="K164" i="1" s="1"/>
  <c r="L345" i="1"/>
  <c r="I345" i="1"/>
  <c r="N345" i="1" s="1"/>
  <c r="I106" i="1"/>
  <c r="K106" i="1" s="1"/>
  <c r="L106" i="1"/>
  <c r="L269" i="1"/>
  <c r="I269" i="1"/>
  <c r="N269" i="1" s="1"/>
  <c r="L81" i="1"/>
  <c r="I81" i="1"/>
  <c r="N81" i="1" s="1"/>
  <c r="I257" i="1"/>
  <c r="N257" i="1" s="1"/>
  <c r="L257" i="1"/>
  <c r="L62" i="1"/>
  <c r="I62" i="1"/>
  <c r="N62" i="1" s="1"/>
  <c r="I70" i="1"/>
  <c r="N70" i="1" s="1"/>
  <c r="L70" i="1"/>
  <c r="I93" i="1"/>
  <c r="N93" i="1" s="1"/>
  <c r="L93" i="1"/>
  <c r="N335" i="1" l="1"/>
  <c r="K309" i="1"/>
  <c r="O334" i="1"/>
  <c r="N183" i="1"/>
  <c r="K42" i="1"/>
  <c r="P42" i="1" s="1"/>
  <c r="Q42" i="1" s="1"/>
  <c r="K177" i="1"/>
  <c r="N136" i="1"/>
  <c r="O136" i="1" s="1"/>
  <c r="P136" i="1" s="1"/>
  <c r="Q136" i="1" s="1"/>
  <c r="O348" i="1"/>
  <c r="K348" i="1"/>
  <c r="O279" i="1"/>
  <c r="K246" i="1"/>
  <c r="N318" i="1"/>
  <c r="O318" i="1" s="1"/>
  <c r="P318" i="1" s="1"/>
  <c r="Q318" i="1" s="1"/>
  <c r="O356" i="1"/>
  <c r="K83" i="1"/>
  <c r="O339" i="1"/>
  <c r="K263" i="1"/>
  <c r="K125" i="1"/>
  <c r="K89" i="1"/>
  <c r="N321" i="1"/>
  <c r="O321" i="1" s="1"/>
  <c r="P321" i="1" s="1"/>
  <c r="Q321" i="1" s="1"/>
  <c r="O335" i="1"/>
  <c r="P335" i="1" s="1"/>
  <c r="Q335" i="1" s="1"/>
  <c r="O152" i="1"/>
  <c r="O331" i="1"/>
  <c r="O96" i="1"/>
  <c r="K334" i="1"/>
  <c r="P334" i="1" s="1"/>
  <c r="Q334" i="1" s="1"/>
  <c r="K294" i="1"/>
  <c r="N208" i="1"/>
  <c r="O208" i="1" s="1"/>
  <c r="K43" i="1"/>
  <c r="N322" i="1"/>
  <c r="O322" i="1" s="1"/>
  <c r="P322" i="1" s="1"/>
  <c r="Q322" i="1" s="1"/>
  <c r="K124" i="1"/>
  <c r="P124" i="1" s="1"/>
  <c r="Q124" i="1" s="1"/>
  <c r="K87" i="1"/>
  <c r="O166" i="1"/>
  <c r="O246" i="1"/>
  <c r="O223" i="1"/>
  <c r="K96" i="1"/>
  <c r="K239" i="1"/>
  <c r="N259" i="1"/>
  <c r="O259" i="1" s="1"/>
  <c r="P259" i="1" s="1"/>
  <c r="Q259" i="1" s="1"/>
  <c r="N160" i="1"/>
  <c r="O160" i="1" s="1"/>
  <c r="P160" i="1" s="1"/>
  <c r="Q160" i="1" s="1"/>
  <c r="K340" i="1"/>
  <c r="N118" i="1"/>
  <c r="O118" i="1" s="1"/>
  <c r="P118" i="1" s="1"/>
  <c r="Q118" i="1" s="1"/>
  <c r="N109" i="1"/>
  <c r="O109" i="1" s="1"/>
  <c r="P109" i="1" s="1"/>
  <c r="Q109" i="1" s="1"/>
  <c r="O83" i="1"/>
  <c r="O64" i="1"/>
  <c r="K287" i="1"/>
  <c r="N50" i="1"/>
  <c r="O50" i="1" s="1"/>
  <c r="P50" i="1" s="1"/>
  <c r="Q50" i="1" s="1"/>
  <c r="P208" i="1"/>
  <c r="Q208" i="1" s="1"/>
  <c r="O231" i="1"/>
  <c r="O183" i="1"/>
  <c r="P183" i="1" s="1"/>
  <c r="Q183" i="1" s="1"/>
  <c r="O190" i="1"/>
  <c r="K57" i="1"/>
  <c r="K302" i="1"/>
  <c r="P302" i="1" s="1"/>
  <c r="Q302" i="1" s="1"/>
  <c r="K231" i="1"/>
  <c r="N271" i="1"/>
  <c r="O271" i="1" s="1"/>
  <c r="P271" i="1" s="1"/>
  <c r="Q271" i="1" s="1"/>
  <c r="K64" i="1"/>
  <c r="N174" i="1"/>
  <c r="O174" i="1" s="1"/>
  <c r="P174" i="1" s="1"/>
  <c r="Q174" i="1" s="1"/>
  <c r="K279" i="1"/>
  <c r="P279" i="1" s="1"/>
  <c r="Q279" i="1" s="1"/>
  <c r="N127" i="1"/>
  <c r="O127" i="1" s="1"/>
  <c r="P127" i="1" s="1"/>
  <c r="Q127" i="1" s="1"/>
  <c r="K76" i="1"/>
  <c r="O74" i="1"/>
  <c r="K356" i="1"/>
  <c r="P356" i="1" s="1"/>
  <c r="Q356" i="1" s="1"/>
  <c r="N200" i="1"/>
  <c r="O200" i="1" s="1"/>
  <c r="P200" i="1" s="1"/>
  <c r="Q200" i="1" s="1"/>
  <c r="O294" i="1"/>
  <c r="K223" i="1"/>
  <c r="N192" i="1"/>
  <c r="O192" i="1" s="1"/>
  <c r="P192" i="1" s="1"/>
  <c r="Q192" i="1" s="1"/>
  <c r="K332" i="1"/>
  <c r="N75" i="1"/>
  <c r="O75" i="1" s="1"/>
  <c r="P75" i="1" s="1"/>
  <c r="Q75" i="1" s="1"/>
  <c r="N327" i="1"/>
  <c r="O327" i="1" s="1"/>
  <c r="P327" i="1" s="1"/>
  <c r="Q327" i="1" s="1"/>
  <c r="K166" i="1"/>
  <c r="O101" i="1"/>
  <c r="K363" i="1"/>
  <c r="P363" i="1" s="1"/>
  <c r="Q363" i="1" s="1"/>
  <c r="O239" i="1"/>
  <c r="O309" i="1"/>
  <c r="P309" i="1" s="1"/>
  <c r="Q309" i="1" s="1"/>
  <c r="K144" i="1"/>
  <c r="P144" i="1" s="1"/>
  <c r="Q144" i="1" s="1"/>
  <c r="O287" i="1"/>
  <c r="K152" i="1"/>
  <c r="P152" i="1" s="1"/>
  <c r="Q152" i="1" s="1"/>
  <c r="K215" i="1"/>
  <c r="P215" i="1" s="1"/>
  <c r="Q215" i="1" s="1"/>
  <c r="N262" i="1"/>
  <c r="O262" i="1" s="1"/>
  <c r="P262" i="1" s="1"/>
  <c r="Q262" i="1" s="1"/>
  <c r="O87" i="1"/>
  <c r="O263" i="1"/>
  <c r="K74" i="1"/>
  <c r="K339" i="1"/>
  <c r="K347" i="1"/>
  <c r="O76" i="1"/>
  <c r="P76" i="1" s="1"/>
  <c r="Q76" i="1" s="1"/>
  <c r="K99" i="1"/>
  <c r="N178" i="1"/>
  <c r="O178" i="1" s="1"/>
  <c r="P178" i="1" s="1"/>
  <c r="Q178" i="1" s="1"/>
  <c r="K331" i="1"/>
  <c r="N100" i="1"/>
  <c r="O100" i="1" s="1"/>
  <c r="P100" i="1" s="1"/>
  <c r="Q100" i="1" s="1"/>
  <c r="O177" i="1"/>
  <c r="P177" i="1" s="1"/>
  <c r="Q177" i="1" s="1"/>
  <c r="K229" i="1"/>
  <c r="O57" i="1"/>
  <c r="O333" i="1"/>
  <c r="O99" i="1"/>
  <c r="P99" i="1" s="1"/>
  <c r="Q99" i="1" s="1"/>
  <c r="N330" i="1"/>
  <c r="O330" i="1" s="1"/>
  <c r="P330" i="1" s="1"/>
  <c r="Q330" i="1" s="1"/>
  <c r="K264" i="1"/>
  <c r="N86" i="1"/>
  <c r="O86" i="1" s="1"/>
  <c r="P86" i="1" s="1"/>
  <c r="Q86" i="1" s="1"/>
  <c r="K115" i="1"/>
  <c r="N338" i="1"/>
  <c r="O338" i="1" s="1"/>
  <c r="P338" i="1" s="1"/>
  <c r="Q338" i="1" s="1"/>
  <c r="O293" i="1"/>
  <c r="N316" i="1"/>
  <c r="O316" i="1" s="1"/>
  <c r="P316" i="1" s="1"/>
  <c r="Q316" i="1" s="1"/>
  <c r="N108" i="1"/>
  <c r="O108" i="1" s="1"/>
  <c r="P108" i="1" s="1"/>
  <c r="Q108" i="1" s="1"/>
  <c r="N179" i="1"/>
  <c r="O179" i="1" s="1"/>
  <c r="P179" i="1" s="1"/>
  <c r="Q179" i="1" s="1"/>
  <c r="O323" i="1"/>
  <c r="K101" i="1"/>
  <c r="O150" i="1"/>
  <c r="K323" i="1"/>
  <c r="O332" i="1"/>
  <c r="O181" i="1"/>
  <c r="K308" i="1"/>
  <c r="O264" i="1"/>
  <c r="K237" i="1"/>
  <c r="O88" i="1"/>
  <c r="K77" i="1"/>
  <c r="O340" i="1"/>
  <c r="K88" i="1"/>
  <c r="O172" i="1"/>
  <c r="O341" i="1"/>
  <c r="O77" i="1"/>
  <c r="O115" i="1"/>
  <c r="K293" i="1"/>
  <c r="O198" i="1"/>
  <c r="O125" i="1"/>
  <c r="O89" i="1"/>
  <c r="N206" i="1"/>
  <c r="O206" i="1" s="1"/>
  <c r="P206" i="1" s="1"/>
  <c r="Q206" i="1" s="1"/>
  <c r="K324" i="1"/>
  <c r="K252" i="1"/>
  <c r="N180" i="1"/>
  <c r="O180" i="1" s="1"/>
  <c r="P180" i="1" s="1"/>
  <c r="Q180" i="1" s="1"/>
  <c r="N95" i="1"/>
  <c r="O95" i="1" s="1"/>
  <c r="P95" i="1" s="1"/>
  <c r="Q95" i="1" s="1"/>
  <c r="N355" i="1"/>
  <c r="O355" i="1" s="1"/>
  <c r="P355" i="1" s="1"/>
  <c r="Q355" i="1" s="1"/>
  <c r="N142" i="1"/>
  <c r="O142" i="1" s="1"/>
  <c r="P142" i="1" s="1"/>
  <c r="Q142" i="1" s="1"/>
  <c r="N214" i="1"/>
  <c r="O214" i="1" s="1"/>
  <c r="P214" i="1" s="1"/>
  <c r="Q214" i="1" s="1"/>
  <c r="K277" i="1"/>
  <c r="P277" i="1" s="1"/>
  <c r="Q277" i="1" s="1"/>
  <c r="O133" i="1"/>
  <c r="K362" i="1"/>
  <c r="O221" i="1"/>
  <c r="K181" i="1"/>
  <c r="K150" i="1"/>
  <c r="O277" i="1"/>
  <c r="O362" i="1"/>
  <c r="O347" i="1"/>
  <c r="K265" i="1"/>
  <c r="O189" i="1"/>
  <c r="N285" i="1"/>
  <c r="O285" i="1" s="1"/>
  <c r="P285" i="1" s="1"/>
  <c r="Q285" i="1" s="1"/>
  <c r="O158" i="1"/>
  <c r="K131" i="1"/>
  <c r="N245" i="1"/>
  <c r="O245" i="1" s="1"/>
  <c r="P245" i="1" s="1"/>
  <c r="Q245" i="1" s="1"/>
  <c r="O325" i="1"/>
  <c r="K189" i="1"/>
  <c r="K172" i="1"/>
  <c r="N102" i="1"/>
  <c r="O102" i="1" s="1"/>
  <c r="P102" i="1" s="1"/>
  <c r="Q102" i="1" s="1"/>
  <c r="K158" i="1"/>
  <c r="O39" i="1"/>
  <c r="K170" i="1"/>
  <c r="O313" i="1"/>
  <c r="O265" i="1"/>
  <c r="K133" i="1"/>
  <c r="O324" i="1"/>
  <c r="P324" i="1" s="1"/>
  <c r="Q324" i="1" s="1"/>
  <c r="K198" i="1"/>
  <c r="O237" i="1"/>
  <c r="O43" i="1"/>
  <c r="P43" i="1" s="1"/>
  <c r="Q43" i="1" s="1"/>
  <c r="O252" i="1"/>
  <c r="K353" i="1"/>
  <c r="K341" i="1"/>
  <c r="O300" i="1"/>
  <c r="K333" i="1"/>
  <c r="O308" i="1"/>
  <c r="O229" i="1"/>
  <c r="K300" i="1"/>
  <c r="K221" i="1"/>
  <c r="O170" i="1"/>
  <c r="K54" i="1"/>
  <c r="O113" i="1"/>
  <c r="N219" i="1"/>
  <c r="O219" i="1" s="1"/>
  <c r="P219" i="1" s="1"/>
  <c r="Q219" i="1" s="1"/>
  <c r="K235" i="1"/>
  <c r="N40" i="1"/>
  <c r="O40" i="1" s="1"/>
  <c r="P40" i="1" s="1"/>
  <c r="Q40" i="1" s="1"/>
  <c r="O353" i="1"/>
  <c r="N298" i="1"/>
  <c r="O298" i="1" s="1"/>
  <c r="P298" i="1" s="1"/>
  <c r="Q298" i="1" s="1"/>
  <c r="K196" i="1"/>
  <c r="K190" i="1"/>
  <c r="N360" i="1"/>
  <c r="O360" i="1" s="1"/>
  <c r="P360" i="1" s="1"/>
  <c r="Q360" i="1" s="1"/>
  <c r="O359" i="1"/>
  <c r="O122" i="1"/>
  <c r="O283" i="1"/>
  <c r="K313" i="1"/>
  <c r="O156" i="1"/>
  <c r="K249" i="1"/>
  <c r="O204" i="1"/>
  <c r="N187" i="1"/>
  <c r="O187" i="1" s="1"/>
  <c r="P187" i="1" s="1"/>
  <c r="Q187" i="1" s="1"/>
  <c r="K113" i="1"/>
  <c r="O235" i="1"/>
  <c r="K116" i="1"/>
  <c r="K325" i="1"/>
  <c r="O116" i="1"/>
  <c r="O212" i="1"/>
  <c r="K156" i="1"/>
  <c r="K204" i="1"/>
  <c r="O243" i="1"/>
  <c r="N250" i="1"/>
  <c r="O250" i="1" s="1"/>
  <c r="P250" i="1" s="1"/>
  <c r="Q250" i="1" s="1"/>
  <c r="N306" i="1"/>
  <c r="O306" i="1" s="1"/>
  <c r="P306" i="1" s="1"/>
  <c r="Q306" i="1" s="1"/>
  <c r="K122" i="1"/>
  <c r="N148" i="1"/>
  <c r="O148" i="1" s="1"/>
  <c r="P148" i="1" s="1"/>
  <c r="Q148" i="1" s="1"/>
  <c r="N140" i="1"/>
  <c r="O140" i="1" s="1"/>
  <c r="P140" i="1" s="1"/>
  <c r="Q140" i="1" s="1"/>
  <c r="K212" i="1"/>
  <c r="O196" i="1"/>
  <c r="N227" i="1"/>
  <c r="O227" i="1" s="1"/>
  <c r="P227" i="1" s="1"/>
  <c r="Q227" i="1" s="1"/>
  <c r="K275" i="1"/>
  <c r="K291" i="1"/>
  <c r="O131" i="1"/>
  <c r="K283" i="1"/>
  <c r="O54" i="1"/>
  <c r="O275" i="1"/>
  <c r="O291" i="1"/>
  <c r="K243" i="1"/>
  <c r="K359" i="1"/>
  <c r="K211" i="1"/>
  <c r="K242" i="1"/>
  <c r="O249" i="1"/>
  <c r="O234" i="1"/>
  <c r="K228" i="1"/>
  <c r="N297" i="1"/>
  <c r="O297" i="1" s="1"/>
  <c r="P297" i="1" s="1"/>
  <c r="Q297" i="1" s="1"/>
  <c r="K53" i="1"/>
  <c r="O211" i="1"/>
  <c r="K305" i="1"/>
  <c r="O53" i="1"/>
  <c r="K169" i="1"/>
  <c r="O290" i="1"/>
  <c r="K234" i="1"/>
  <c r="N155" i="1"/>
  <c r="O155" i="1" s="1"/>
  <c r="P155" i="1" s="1"/>
  <c r="Q155" i="1" s="1"/>
  <c r="K39" i="1"/>
  <c r="N312" i="1"/>
  <c r="O312" i="1" s="1"/>
  <c r="P312" i="1" s="1"/>
  <c r="Q312" i="1" s="1"/>
  <c r="N274" i="1"/>
  <c r="O274" i="1" s="1"/>
  <c r="P274" i="1" s="1"/>
  <c r="Q274" i="1" s="1"/>
  <c r="O226" i="1"/>
  <c r="N121" i="1"/>
  <c r="O121" i="1" s="1"/>
  <c r="P121" i="1" s="1"/>
  <c r="Q121" i="1" s="1"/>
  <c r="N112" i="1"/>
  <c r="O112" i="1" s="1"/>
  <c r="P112" i="1" s="1"/>
  <c r="Q112" i="1" s="1"/>
  <c r="O242" i="1"/>
  <c r="O284" i="1"/>
  <c r="K171" i="1"/>
  <c r="O276" i="1"/>
  <c r="N195" i="1"/>
  <c r="O195" i="1" s="1"/>
  <c r="P195" i="1" s="1"/>
  <c r="Q195" i="1" s="1"/>
  <c r="K147" i="1"/>
  <c r="K290" i="1"/>
  <c r="N186" i="1"/>
  <c r="O186" i="1" s="1"/>
  <c r="P186" i="1" s="1"/>
  <c r="Q186" i="1" s="1"/>
  <c r="K226" i="1"/>
  <c r="K134" i="1"/>
  <c r="O203" i="1"/>
  <c r="O147" i="1"/>
  <c r="O305" i="1"/>
  <c r="P305" i="1" s="1"/>
  <c r="Q305" i="1" s="1"/>
  <c r="O307" i="1"/>
  <c r="K314" i="1"/>
  <c r="K203" i="1"/>
  <c r="O354" i="1"/>
  <c r="O149" i="1"/>
  <c r="N361" i="1"/>
  <c r="O361" i="1" s="1"/>
  <c r="P361" i="1" s="1"/>
  <c r="Q361" i="1" s="1"/>
  <c r="N352" i="1"/>
  <c r="O352" i="1" s="1"/>
  <c r="P352" i="1" s="1"/>
  <c r="Q352" i="1" s="1"/>
  <c r="O218" i="1"/>
  <c r="K67" i="1"/>
  <c r="O236" i="1"/>
  <c r="O130" i="1"/>
  <c r="N41" i="1"/>
  <c r="O41" i="1" s="1"/>
  <c r="P41" i="1" s="1"/>
  <c r="Q41" i="1" s="1"/>
  <c r="O197" i="1"/>
  <c r="K354" i="1"/>
  <c r="K123" i="1"/>
  <c r="O134" i="1"/>
  <c r="K282" i="1"/>
  <c r="N132" i="1"/>
  <c r="O132" i="1" s="1"/>
  <c r="P132" i="1" s="1"/>
  <c r="Q132" i="1" s="1"/>
  <c r="O282" i="1"/>
  <c r="N139" i="1"/>
  <c r="O139" i="1" s="1"/>
  <c r="P139" i="1" s="1"/>
  <c r="Q139" i="1" s="1"/>
  <c r="O314" i="1"/>
  <c r="K307" i="1"/>
  <c r="K197" i="1"/>
  <c r="O228" i="1"/>
  <c r="O143" i="1"/>
  <c r="O169" i="1"/>
  <c r="K114" i="1"/>
  <c r="N251" i="1"/>
  <c r="O251" i="1" s="1"/>
  <c r="P251" i="1" s="1"/>
  <c r="Q251" i="1" s="1"/>
  <c r="N286" i="1"/>
  <c r="O286" i="1" s="1"/>
  <c r="P286" i="1" s="1"/>
  <c r="Q286" i="1" s="1"/>
  <c r="K157" i="1"/>
  <c r="O114" i="1"/>
  <c r="K218" i="1"/>
  <c r="K130" i="1"/>
  <c r="N213" i="1"/>
  <c r="O213" i="1" s="1"/>
  <c r="P213" i="1" s="1"/>
  <c r="Q213" i="1" s="1"/>
  <c r="K149" i="1"/>
  <c r="N292" i="1"/>
  <c r="O292" i="1" s="1"/>
  <c r="P292" i="1" s="1"/>
  <c r="Q292" i="1" s="1"/>
  <c r="K173" i="1"/>
  <c r="O55" i="1"/>
  <c r="K143" i="1"/>
  <c r="N230" i="1"/>
  <c r="O230" i="1" s="1"/>
  <c r="P230" i="1" s="1"/>
  <c r="Q230" i="1" s="1"/>
  <c r="O78" i="1"/>
  <c r="K205" i="1"/>
  <c r="O157" i="1"/>
  <c r="O173" i="1"/>
  <c r="O244" i="1"/>
  <c r="N207" i="1"/>
  <c r="O207" i="1" s="1"/>
  <c r="P207" i="1" s="1"/>
  <c r="Q207" i="1" s="1"/>
  <c r="O159" i="1"/>
  <c r="K90" i="1"/>
  <c r="N188" i="1"/>
  <c r="O188" i="1" s="1"/>
  <c r="P188" i="1" s="1"/>
  <c r="Q188" i="1" s="1"/>
  <c r="O123" i="1"/>
  <c r="K236" i="1"/>
  <c r="K315" i="1"/>
  <c r="K276" i="1"/>
  <c r="N222" i="1"/>
  <c r="O222" i="1" s="1"/>
  <c r="P222" i="1" s="1"/>
  <c r="Q222" i="1" s="1"/>
  <c r="O315" i="1"/>
  <c r="K284" i="1"/>
  <c r="K55" i="1"/>
  <c r="N220" i="1"/>
  <c r="O220" i="1" s="1"/>
  <c r="P220" i="1" s="1"/>
  <c r="Q220" i="1" s="1"/>
  <c r="O205" i="1"/>
  <c r="O342" i="1"/>
  <c r="N141" i="1"/>
  <c r="O141" i="1" s="1"/>
  <c r="P141" i="1" s="1"/>
  <c r="Q141" i="1" s="1"/>
  <c r="N299" i="1"/>
  <c r="O299" i="1" s="1"/>
  <c r="P299" i="1" s="1"/>
  <c r="Q299" i="1" s="1"/>
  <c r="K244" i="1"/>
  <c r="N278" i="1"/>
  <c r="O278" i="1" s="1"/>
  <c r="P278" i="1" s="1"/>
  <c r="Q278" i="1" s="1"/>
  <c r="K253" i="1"/>
  <c r="K58" i="1"/>
  <c r="O171" i="1"/>
  <c r="K159" i="1"/>
  <c r="N326" i="1"/>
  <c r="O326" i="1" s="1"/>
  <c r="P326" i="1" s="1"/>
  <c r="Q326" i="1" s="1"/>
  <c r="N317" i="1"/>
  <c r="O317" i="1" s="1"/>
  <c r="P317" i="1" s="1"/>
  <c r="Q317" i="1" s="1"/>
  <c r="K342" i="1"/>
  <c r="O103" i="1"/>
  <c r="O266" i="1"/>
  <c r="O253" i="1"/>
  <c r="O199" i="1"/>
  <c r="K135" i="1"/>
  <c r="K126" i="1"/>
  <c r="K266" i="1"/>
  <c r="O67" i="1"/>
  <c r="O58" i="1"/>
  <c r="O126" i="1"/>
  <c r="N44" i="1"/>
  <c r="O44" i="1" s="1"/>
  <c r="P44" i="1" s="1"/>
  <c r="Q44" i="1" s="1"/>
  <c r="O90" i="1"/>
  <c r="K78" i="1"/>
  <c r="O238" i="1"/>
  <c r="N151" i="1"/>
  <c r="O151" i="1" s="1"/>
  <c r="P151" i="1" s="1"/>
  <c r="Q151" i="1" s="1"/>
  <c r="K103" i="1"/>
  <c r="K238" i="1"/>
  <c r="O301" i="1"/>
  <c r="K117" i="1"/>
  <c r="O135" i="1"/>
  <c r="O267" i="1"/>
  <c r="K80" i="1"/>
  <c r="O45" i="1"/>
  <c r="N182" i="1"/>
  <c r="O182" i="1" s="1"/>
  <c r="P182" i="1" s="1"/>
  <c r="Q182" i="1" s="1"/>
  <c r="K254" i="1"/>
  <c r="K301" i="1"/>
  <c r="K60" i="1"/>
  <c r="K258" i="1"/>
  <c r="K59" i="1"/>
  <c r="O161" i="1"/>
  <c r="O256" i="1"/>
  <c r="K61" i="1"/>
  <c r="K161" i="1"/>
  <c r="O117" i="1"/>
  <c r="N191" i="1"/>
  <c r="O191" i="1" s="1"/>
  <c r="P191" i="1" s="1"/>
  <c r="Q191" i="1" s="1"/>
  <c r="N63" i="1"/>
  <c r="O63" i="1" s="1"/>
  <c r="P63" i="1" s="1"/>
  <c r="Q63" i="1" s="1"/>
  <c r="N71" i="1"/>
  <c r="O71" i="1" s="1"/>
  <c r="P71" i="1" s="1"/>
  <c r="Q71" i="1" s="1"/>
  <c r="K45" i="1"/>
  <c r="O59" i="1"/>
  <c r="O254" i="1"/>
  <c r="K268" i="1"/>
  <c r="N82" i="1"/>
  <c r="O82" i="1" s="1"/>
  <c r="P82" i="1" s="1"/>
  <c r="Q82" i="1" s="1"/>
  <c r="K346" i="1"/>
  <c r="K199" i="1"/>
  <c r="N94" i="1"/>
  <c r="O94" i="1" s="1"/>
  <c r="P94" i="1" s="1"/>
  <c r="Q94" i="1" s="1"/>
  <c r="K70" i="1"/>
  <c r="K105" i="1"/>
  <c r="K165" i="1"/>
  <c r="O61" i="1"/>
  <c r="O47" i="1"/>
  <c r="O258" i="1"/>
  <c r="O49" i="1"/>
  <c r="O91" i="1"/>
  <c r="O268" i="1"/>
  <c r="O346" i="1"/>
  <c r="O255" i="1"/>
  <c r="K46" i="1"/>
  <c r="K47" i="1"/>
  <c r="N107" i="1"/>
  <c r="O107" i="1" s="1"/>
  <c r="P107" i="1" s="1"/>
  <c r="Q107" i="1" s="1"/>
  <c r="O79" i="1"/>
  <c r="N106" i="1"/>
  <c r="O106" i="1" s="1"/>
  <c r="P106" i="1" s="1"/>
  <c r="Q106" i="1" s="1"/>
  <c r="K92" i="1"/>
  <c r="K270" i="1"/>
  <c r="K345" i="1"/>
  <c r="K49" i="1"/>
  <c r="O270" i="1"/>
  <c r="O165" i="1"/>
  <c r="K91" i="1"/>
  <c r="K269" i="1"/>
  <c r="O105" i="1"/>
  <c r="O92" i="1"/>
  <c r="K69" i="1"/>
  <c r="K257" i="1"/>
  <c r="N164" i="1"/>
  <c r="O164" i="1" s="1"/>
  <c r="P164" i="1" s="1"/>
  <c r="Q164" i="1" s="1"/>
  <c r="O46" i="1"/>
  <c r="O162" i="1"/>
  <c r="K256" i="1"/>
  <c r="K163" i="1"/>
  <c r="K344" i="1"/>
  <c r="O80" i="1"/>
  <c r="K48" i="1"/>
  <c r="O163" i="1"/>
  <c r="O69" i="1"/>
  <c r="O344" i="1"/>
  <c r="O93" i="1"/>
  <c r="N104" i="1"/>
  <c r="O104" i="1" s="1"/>
  <c r="P104" i="1" s="1"/>
  <c r="Q104" i="1" s="1"/>
  <c r="K343" i="1"/>
  <c r="K162" i="1"/>
  <c r="K255" i="1"/>
  <c r="O343" i="1"/>
  <c r="K79" i="1"/>
  <c r="O60" i="1"/>
  <c r="O62" i="1"/>
  <c r="O269" i="1"/>
  <c r="N68" i="1"/>
  <c r="O68" i="1" s="1"/>
  <c r="P68" i="1" s="1"/>
  <c r="Q68" i="1" s="1"/>
  <c r="O48" i="1"/>
  <c r="K267" i="1"/>
  <c r="K93" i="1"/>
  <c r="O345" i="1"/>
  <c r="O70" i="1"/>
  <c r="K62" i="1"/>
  <c r="O257" i="1"/>
  <c r="K81" i="1"/>
  <c r="O81" i="1"/>
  <c r="Q369" i="1"/>
  <c r="P369" i="1"/>
  <c r="O369" i="1"/>
  <c r="N369" i="1"/>
  <c r="M369" i="1"/>
  <c r="L369" i="1"/>
  <c r="K369" i="1"/>
  <c r="J369" i="1"/>
  <c r="I369" i="1"/>
  <c r="H369" i="1"/>
  <c r="Q137" i="1"/>
  <c r="P137" i="1"/>
  <c r="O137" i="1"/>
  <c r="N137" i="1"/>
  <c r="M137" i="1"/>
  <c r="L137" i="1"/>
  <c r="K137" i="1"/>
  <c r="J137" i="1"/>
  <c r="I137" i="1"/>
  <c r="H137" i="1"/>
  <c r="P348" i="1" l="1"/>
  <c r="Q348" i="1" s="1"/>
  <c r="P125" i="1"/>
  <c r="Q125" i="1" s="1"/>
  <c r="P294" i="1"/>
  <c r="Q294" i="1" s="1"/>
  <c r="P340" i="1"/>
  <c r="Q340" i="1" s="1"/>
  <c r="P166" i="1"/>
  <c r="Q166" i="1" s="1"/>
  <c r="P246" i="1"/>
  <c r="Q246" i="1" s="1"/>
  <c r="P74" i="1"/>
  <c r="Q74" i="1" s="1"/>
  <c r="P339" i="1"/>
  <c r="Q339" i="1" s="1"/>
  <c r="P263" i="1"/>
  <c r="Q263" i="1" s="1"/>
  <c r="P331" i="1"/>
  <c r="Q331" i="1" s="1"/>
  <c r="P87" i="1"/>
  <c r="Q87" i="1" s="1"/>
  <c r="P239" i="1"/>
  <c r="Q239" i="1" s="1"/>
  <c r="P83" i="1"/>
  <c r="Q83" i="1" s="1"/>
  <c r="P96" i="1"/>
  <c r="Q96" i="1" s="1"/>
  <c r="P64" i="1"/>
  <c r="Q64" i="1" s="1"/>
  <c r="P287" i="1"/>
  <c r="Q287" i="1" s="1"/>
  <c r="P341" i="1"/>
  <c r="Q341" i="1" s="1"/>
  <c r="P89" i="1"/>
  <c r="Q89" i="1" s="1"/>
  <c r="P347" i="1"/>
  <c r="Q347" i="1" s="1"/>
  <c r="P223" i="1"/>
  <c r="Q223" i="1" s="1"/>
  <c r="P229" i="1"/>
  <c r="Q229" i="1" s="1"/>
  <c r="P115" i="1"/>
  <c r="Q115" i="1" s="1"/>
  <c r="P39" i="1"/>
  <c r="Q39" i="1" s="1"/>
  <c r="P57" i="1"/>
  <c r="Q57" i="1" s="1"/>
  <c r="P190" i="1"/>
  <c r="Q190" i="1" s="1"/>
  <c r="P101" i="1"/>
  <c r="Q101" i="1" s="1"/>
  <c r="P264" i="1"/>
  <c r="Q264" i="1" s="1"/>
  <c r="P231" i="1"/>
  <c r="Q231" i="1" s="1"/>
  <c r="P332" i="1"/>
  <c r="Q332" i="1" s="1"/>
  <c r="P293" i="1"/>
  <c r="Q293" i="1" s="1"/>
  <c r="P189" i="1"/>
  <c r="Q189" i="1" s="1"/>
  <c r="P359" i="1"/>
  <c r="Q359" i="1" s="1"/>
  <c r="P252" i="1"/>
  <c r="Q252" i="1" s="1"/>
  <c r="P333" i="1"/>
  <c r="Q333" i="1" s="1"/>
  <c r="P212" i="1"/>
  <c r="Q212" i="1" s="1"/>
  <c r="P156" i="1"/>
  <c r="Q156" i="1" s="1"/>
  <c r="P77" i="1"/>
  <c r="Q77" i="1" s="1"/>
  <c r="P172" i="1"/>
  <c r="Q172" i="1" s="1"/>
  <c r="P150" i="1"/>
  <c r="Q150" i="1" s="1"/>
  <c r="P308" i="1"/>
  <c r="Q308" i="1" s="1"/>
  <c r="P265" i="1"/>
  <c r="Q265" i="1" s="1"/>
  <c r="P362" i="1"/>
  <c r="Q362" i="1" s="1"/>
  <c r="P237" i="1"/>
  <c r="Q237" i="1" s="1"/>
  <c r="P170" i="1"/>
  <c r="Q170" i="1" s="1"/>
  <c r="P88" i="1"/>
  <c r="Q88" i="1" s="1"/>
  <c r="P181" i="1"/>
  <c r="Q181" i="1" s="1"/>
  <c r="P323" i="1"/>
  <c r="Q323" i="1" s="1"/>
  <c r="P249" i="1"/>
  <c r="Q249" i="1" s="1"/>
  <c r="P221" i="1"/>
  <c r="Q221" i="1" s="1"/>
  <c r="P198" i="1"/>
  <c r="Q198" i="1" s="1"/>
  <c r="P131" i="1"/>
  <c r="Q131" i="1" s="1"/>
  <c r="P325" i="1"/>
  <c r="Q325" i="1" s="1"/>
  <c r="P313" i="1"/>
  <c r="Q313" i="1" s="1"/>
  <c r="P158" i="1"/>
  <c r="Q158" i="1" s="1"/>
  <c r="P291" i="1"/>
  <c r="Q291" i="1" s="1"/>
  <c r="P133" i="1"/>
  <c r="Q133" i="1" s="1"/>
  <c r="P275" i="1"/>
  <c r="Q275" i="1" s="1"/>
  <c r="P113" i="1"/>
  <c r="Q113" i="1" s="1"/>
  <c r="P196" i="1"/>
  <c r="Q196" i="1" s="1"/>
  <c r="P353" i="1"/>
  <c r="Q353" i="1" s="1"/>
  <c r="P300" i="1"/>
  <c r="Q300" i="1" s="1"/>
  <c r="P54" i="1"/>
  <c r="Q54" i="1" s="1"/>
  <c r="P204" i="1"/>
  <c r="Q204" i="1" s="1"/>
  <c r="P122" i="1"/>
  <c r="Q122" i="1" s="1"/>
  <c r="P116" i="1"/>
  <c r="Q116" i="1" s="1"/>
  <c r="P235" i="1"/>
  <c r="Q235" i="1" s="1"/>
  <c r="P53" i="1"/>
  <c r="Q53" i="1" s="1"/>
  <c r="P242" i="1"/>
  <c r="Q242" i="1" s="1"/>
  <c r="P234" i="1"/>
  <c r="Q234" i="1" s="1"/>
  <c r="P283" i="1"/>
  <c r="Q283" i="1" s="1"/>
  <c r="P211" i="1"/>
  <c r="Q211" i="1" s="1"/>
  <c r="P243" i="1"/>
  <c r="Q243" i="1" s="1"/>
  <c r="P228" i="1"/>
  <c r="Q228" i="1" s="1"/>
  <c r="P290" i="1"/>
  <c r="Q290" i="1" s="1"/>
  <c r="P197" i="1"/>
  <c r="Q197" i="1" s="1"/>
  <c r="P276" i="1"/>
  <c r="Q276" i="1" s="1"/>
  <c r="P354" i="1"/>
  <c r="Q354" i="1" s="1"/>
  <c r="P147" i="1"/>
  <c r="Q147" i="1" s="1"/>
  <c r="P117" i="1"/>
  <c r="Q117" i="1" s="1"/>
  <c r="P134" i="1"/>
  <c r="Q134" i="1" s="1"/>
  <c r="P169" i="1"/>
  <c r="Q169" i="1" s="1"/>
  <c r="P226" i="1"/>
  <c r="Q226" i="1" s="1"/>
  <c r="P284" i="1"/>
  <c r="Q284" i="1" s="1"/>
  <c r="P203" i="1"/>
  <c r="Q203" i="1" s="1"/>
  <c r="P314" i="1"/>
  <c r="Q314" i="1" s="1"/>
  <c r="P171" i="1"/>
  <c r="Q171" i="1" s="1"/>
  <c r="P307" i="1"/>
  <c r="Q307" i="1" s="1"/>
  <c r="P236" i="1"/>
  <c r="Q236" i="1" s="1"/>
  <c r="P238" i="1"/>
  <c r="Q238" i="1" s="1"/>
  <c r="P149" i="1"/>
  <c r="Q149" i="1" s="1"/>
  <c r="P254" i="1"/>
  <c r="Q254" i="1" s="1"/>
  <c r="P67" i="1"/>
  <c r="Q67" i="1" s="1"/>
  <c r="P199" i="1"/>
  <c r="Q199" i="1" s="1"/>
  <c r="P78" i="1"/>
  <c r="Q78" i="1" s="1"/>
  <c r="P282" i="1"/>
  <c r="Q282" i="1" s="1"/>
  <c r="P218" i="1"/>
  <c r="Q218" i="1" s="1"/>
  <c r="P130" i="1"/>
  <c r="Q130" i="1" s="1"/>
  <c r="P159" i="1"/>
  <c r="Q159" i="1" s="1"/>
  <c r="P123" i="1"/>
  <c r="Q123" i="1" s="1"/>
  <c r="P173" i="1"/>
  <c r="Q173" i="1" s="1"/>
  <c r="P55" i="1"/>
  <c r="Q55" i="1" s="1"/>
  <c r="P143" i="1"/>
  <c r="Q143" i="1" s="1"/>
  <c r="P315" i="1"/>
  <c r="Q315" i="1" s="1"/>
  <c r="P90" i="1"/>
  <c r="Q90" i="1" s="1"/>
  <c r="P157" i="1"/>
  <c r="Q157" i="1" s="1"/>
  <c r="P114" i="1"/>
  <c r="Q114" i="1" s="1"/>
  <c r="P58" i="1"/>
  <c r="Q58" i="1" s="1"/>
  <c r="P205" i="1"/>
  <c r="Q205" i="1" s="1"/>
  <c r="P342" i="1"/>
  <c r="Q342" i="1" s="1"/>
  <c r="P244" i="1"/>
  <c r="Q244" i="1" s="1"/>
  <c r="P253" i="1"/>
  <c r="Q253" i="1" s="1"/>
  <c r="P135" i="1"/>
  <c r="Q135" i="1" s="1"/>
  <c r="P301" i="1"/>
  <c r="Q301" i="1" s="1"/>
  <c r="P266" i="1"/>
  <c r="Q266" i="1" s="1"/>
  <c r="P103" i="1"/>
  <c r="Q103" i="1" s="1"/>
  <c r="P267" i="1"/>
  <c r="Q267" i="1" s="1"/>
  <c r="P126" i="1"/>
  <c r="Q126" i="1" s="1"/>
  <c r="P80" i="1"/>
  <c r="Q80" i="1" s="1"/>
  <c r="P59" i="1"/>
  <c r="Q59" i="1" s="1"/>
  <c r="P161" i="1"/>
  <c r="Q161" i="1" s="1"/>
  <c r="P45" i="1"/>
  <c r="Q45" i="1" s="1"/>
  <c r="P268" i="1"/>
  <c r="Q268" i="1" s="1"/>
  <c r="P91" i="1"/>
  <c r="Q91" i="1" s="1"/>
  <c r="P46" i="1"/>
  <c r="Q46" i="1" s="1"/>
  <c r="P165" i="1"/>
  <c r="Q165" i="1" s="1"/>
  <c r="P258" i="1"/>
  <c r="Q258" i="1" s="1"/>
  <c r="P60" i="1"/>
  <c r="Q60" i="1" s="1"/>
  <c r="P61" i="1"/>
  <c r="Q61" i="1" s="1"/>
  <c r="P255" i="1"/>
  <c r="Q255" i="1" s="1"/>
  <c r="P346" i="1"/>
  <c r="Q346" i="1" s="1"/>
  <c r="P70" i="1"/>
  <c r="Q70" i="1" s="1"/>
  <c r="P256" i="1"/>
  <c r="Q256" i="1" s="1"/>
  <c r="P269" i="1"/>
  <c r="Q269" i="1" s="1"/>
  <c r="P345" i="1"/>
  <c r="Q345" i="1" s="1"/>
  <c r="P47" i="1"/>
  <c r="Q47" i="1" s="1"/>
  <c r="P92" i="1"/>
  <c r="Q92" i="1" s="1"/>
  <c r="P49" i="1"/>
  <c r="Q49" i="1" s="1"/>
  <c r="P105" i="1"/>
  <c r="Q105" i="1" s="1"/>
  <c r="P93" i="1"/>
  <c r="Q93" i="1" s="1"/>
  <c r="P162" i="1"/>
  <c r="Q162" i="1" s="1"/>
  <c r="P270" i="1"/>
  <c r="Q270" i="1" s="1"/>
  <c r="P69" i="1"/>
  <c r="Q69" i="1" s="1"/>
  <c r="P344" i="1"/>
  <c r="Q344" i="1" s="1"/>
  <c r="P79" i="1"/>
  <c r="Q79" i="1" s="1"/>
  <c r="P163" i="1"/>
  <c r="Q163" i="1" s="1"/>
  <c r="P48" i="1"/>
  <c r="Q48" i="1" s="1"/>
  <c r="P62" i="1"/>
  <c r="Q62" i="1" s="1"/>
  <c r="P257" i="1"/>
  <c r="Q257" i="1" s="1"/>
  <c r="P343" i="1"/>
  <c r="Q343" i="1" s="1"/>
  <c r="P81" i="1"/>
  <c r="Q81" i="1" s="1"/>
  <c r="L372" i="1" l="1"/>
  <c r="L19" i="1"/>
  <c r="L32" i="1"/>
  <c r="L15" i="1"/>
  <c r="L10" i="1"/>
  <c r="M12" i="1"/>
  <c r="J12" i="1"/>
  <c r="H12" i="1"/>
  <c r="I12" i="1" s="1"/>
  <c r="N12" i="1" l="1"/>
  <c r="K12" i="1"/>
  <c r="O7" i="2" l="1"/>
  <c r="O10" i="2"/>
  <c r="F14" i="1"/>
  <c r="M372" i="1"/>
  <c r="P372" i="1" l="1"/>
  <c r="Q372" i="1"/>
  <c r="R377" i="1" s="1"/>
  <c r="P19" i="1"/>
  <c r="Q19" i="1"/>
  <c r="R33" i="1" s="1"/>
  <c r="P32" i="1"/>
  <c r="Q32" i="1"/>
  <c r="P15" i="1"/>
  <c r="Q15" i="1"/>
  <c r="Q10" i="1"/>
  <c r="P10" i="1"/>
  <c r="H11" i="1"/>
  <c r="L16" i="2" l="1"/>
  <c r="C7" i="2"/>
  <c r="C5" i="2"/>
  <c r="C9" i="2" l="1"/>
  <c r="B9" i="2"/>
  <c r="C8" i="2"/>
  <c r="B8" i="2"/>
  <c r="C6" i="2"/>
  <c r="B6" i="2"/>
  <c r="A377" i="1" l="1"/>
  <c r="A378" i="1"/>
  <c r="A379" i="1"/>
  <c r="A380" i="1"/>
  <c r="A11" i="1"/>
  <c r="A10" i="1"/>
  <c r="A1" i="2" l="1"/>
  <c r="O15" i="1" l="1"/>
  <c r="N15" i="1"/>
  <c r="M15" i="1"/>
  <c r="K15" i="1"/>
  <c r="J15" i="1"/>
  <c r="I15" i="1"/>
  <c r="H15" i="1"/>
  <c r="M14" i="1"/>
  <c r="J14" i="1"/>
  <c r="H14" i="1"/>
  <c r="I14" i="1" s="1"/>
  <c r="M13" i="1"/>
  <c r="J13" i="1"/>
  <c r="H13" i="1"/>
  <c r="I13" i="1" s="1"/>
  <c r="M11" i="1"/>
  <c r="J11" i="1"/>
  <c r="I11" i="1"/>
  <c r="M10" i="1"/>
  <c r="N10" i="1" s="1"/>
  <c r="O10" i="1" s="1"/>
  <c r="J10" i="1"/>
  <c r="H10" i="1"/>
  <c r="I10" i="1" s="1"/>
  <c r="K11" i="1" l="1"/>
  <c r="N14" i="1"/>
  <c r="K14" i="1"/>
  <c r="N13" i="1"/>
  <c r="N11" i="1"/>
  <c r="K13" i="1"/>
  <c r="K10" i="1"/>
  <c r="P380" i="1"/>
  <c r="O380" i="1"/>
  <c r="N380" i="1"/>
  <c r="M380" i="1"/>
  <c r="L380" i="1"/>
  <c r="K380" i="1"/>
  <c r="J380" i="1"/>
  <c r="I380" i="1"/>
  <c r="H380" i="1"/>
  <c r="P378" i="1"/>
  <c r="O378" i="1"/>
  <c r="N378" i="1"/>
  <c r="M378" i="1"/>
  <c r="L378" i="1"/>
  <c r="K378" i="1"/>
  <c r="J378" i="1"/>
  <c r="I378" i="1"/>
  <c r="H378" i="1"/>
  <c r="O372" i="1"/>
  <c r="N372" i="1"/>
  <c r="K372" i="1"/>
  <c r="J372" i="1"/>
  <c r="I372" i="1"/>
  <c r="H372" i="1"/>
  <c r="O32" i="1"/>
  <c r="N32" i="1"/>
  <c r="M32" i="1"/>
  <c r="K32" i="1"/>
  <c r="J32" i="1"/>
  <c r="I32" i="1"/>
  <c r="H32" i="1"/>
  <c r="O19" i="1"/>
  <c r="N19" i="1"/>
  <c r="M19" i="1"/>
  <c r="K19" i="1"/>
  <c r="J19" i="1"/>
  <c r="I19" i="1"/>
  <c r="H19" i="1"/>
  <c r="P16" i="1" l="1"/>
  <c r="J16" i="1"/>
  <c r="D6" i="2" s="1"/>
  <c r="J33" i="1" l="1"/>
  <c r="P33" i="1"/>
  <c r="F6" i="2"/>
  <c r="R383" i="1"/>
  <c r="J379" i="1"/>
  <c r="R381" i="1" l="1"/>
  <c r="P379" i="1"/>
  <c r="D8" i="2" l="1"/>
  <c r="F8" i="2" l="1"/>
  <c r="P377" i="1" l="1"/>
  <c r="L14" i="2"/>
  <c r="J377" i="1"/>
  <c r="D9" i="2" s="1"/>
  <c r="D11" i="2" l="1"/>
  <c r="E14" i="2" s="1"/>
  <c r="E15" i="2" s="1"/>
  <c r="L15" i="2" l="1"/>
  <c r="F9" i="2" l="1"/>
  <c r="F11" i="2" s="1"/>
  <c r="L20" i="2" l="1"/>
  <c r="L21" i="2" s="1"/>
  <c r="L9" i="1" l="1"/>
  <c r="L11" i="1" l="1"/>
  <c r="O11" i="1" s="1"/>
  <c r="P11" i="1" s="1"/>
  <c r="Q11" i="1" s="1"/>
  <c r="L12" i="1"/>
  <c r="O12" i="1" s="1"/>
  <c r="P12" i="1" s="1"/>
  <c r="Q12" i="1" s="1"/>
  <c r="L13" i="1"/>
  <c r="O13" i="1" s="1"/>
  <c r="P13" i="1" s="1"/>
  <c r="Q13" i="1" s="1"/>
  <c r="L14" i="1"/>
  <c r="O14" i="1" s="1"/>
  <c r="P14" i="1" s="1"/>
  <c r="Q14" i="1" s="1"/>
  <c r="M33" i="1" l="1"/>
  <c r="E8" i="2" s="1"/>
  <c r="G8" i="2" s="1"/>
  <c r="H8" i="2" s="1"/>
  <c r="J8" i="2" s="1"/>
  <c r="M377" i="1"/>
  <c r="E9" i="2" s="1"/>
  <c r="G9" i="2" s="1"/>
  <c r="R382" i="1"/>
  <c r="M379" i="1"/>
  <c r="M16" i="1"/>
  <c r="E6" i="2" s="1"/>
  <c r="I8" i="2" l="1"/>
  <c r="L8" i="2" s="1"/>
  <c r="M8" i="2" s="1"/>
  <c r="G6" i="2"/>
  <c r="H6" i="2" s="1"/>
  <c r="R16" i="1"/>
  <c r="R379" i="1"/>
  <c r="E11" i="2"/>
  <c r="E17" i="2" s="1"/>
  <c r="H9" i="2"/>
  <c r="I9" i="2" s="1"/>
  <c r="G11" i="2" l="1"/>
  <c r="E18" i="2"/>
  <c r="J6" i="2"/>
  <c r="I6" i="2"/>
  <c r="H11" i="2"/>
  <c r="J9" i="2"/>
  <c r="I11" i="2" l="1"/>
  <c r="E19" i="2"/>
  <c r="E20" i="2" s="1"/>
  <c r="O1" i="1"/>
  <c r="J11" i="2"/>
  <c r="L9" i="2"/>
  <c r="M9" i="2" s="1"/>
  <c r="E21" i="2" l="1"/>
  <c r="E22" i="2" s="1"/>
  <c r="E34" i="2" s="1"/>
  <c r="O3" i="1"/>
  <c r="O2" i="1"/>
  <c r="E23" i="2" l="1"/>
  <c r="K6" i="2" l="1"/>
  <c r="K11" i="2" s="1"/>
  <c r="O4" i="1"/>
  <c r="O5" i="1" s="1"/>
  <c r="E36" i="2"/>
  <c r="L6" i="2" l="1"/>
  <c r="M6" i="2" s="1"/>
  <c r="L11" i="2" l="1"/>
  <c r="O6" i="2"/>
  <c r="M11" i="2"/>
  <c r="O8" i="2" s="1"/>
  <c r="O9" i="2" l="1"/>
  <c r="O11" i="2" s="1"/>
</calcChain>
</file>

<file path=xl/sharedStrings.xml><?xml version="1.0" encoding="utf-8"?>
<sst xmlns="http://schemas.openxmlformats.org/spreadsheetml/2006/main" count="757" uniqueCount="207">
  <si>
    <t>SR.
NO.</t>
  </si>
  <si>
    <t>DESCRIPTION</t>
  </si>
  <si>
    <t>QUANTITY</t>
  </si>
  <si>
    <t>UNIT</t>
  </si>
  <si>
    <t>MATERIAL 
COST</t>
  </si>
  <si>
    <t>MANHOURS COST</t>
  </si>
  <si>
    <t>UNIT MANHOURS</t>
  </si>
  <si>
    <t>TOTAL MANHOURS</t>
  </si>
  <si>
    <t>TOTAL
COST</t>
  </si>
  <si>
    <t>UNIT MATERIAL
COST</t>
  </si>
  <si>
    <t>DWG. NO.</t>
  </si>
  <si>
    <t>DETAIL NO.</t>
  </si>
  <si>
    <t>SUBTOTAL MATERIAL</t>
  </si>
  <si>
    <t>SUBTOTAL LABOR</t>
  </si>
  <si>
    <t>COMPOSITE LABOR RATE</t>
  </si>
  <si>
    <t>BID SUMMARY</t>
  </si>
  <si>
    <t>MATERIAL COST</t>
  </si>
  <si>
    <t>LABOR COST</t>
  </si>
  <si>
    <t>MATERIAL TAX</t>
  </si>
  <si>
    <t>LABOR TAX</t>
  </si>
  <si>
    <t>TOTAL COST</t>
  </si>
  <si>
    <t>OVERHEADS</t>
  </si>
  <si>
    <t>TOTAL PRICE</t>
  </si>
  <si>
    <t>TOTALS</t>
  </si>
  <si>
    <t>BID RECAP</t>
  </si>
  <si>
    <t>TOTAL MATERIAL COST</t>
  </si>
  <si>
    <t>TOTAL LABOR COST</t>
  </si>
  <si>
    <t>MATERIAL SALES TAX</t>
  </si>
  <si>
    <t>OVERHEADS @</t>
  </si>
  <si>
    <t>ALLOWANCES</t>
  </si>
  <si>
    <t>SUB-CONTRACTS</t>
  </si>
  <si>
    <t>BOND PREMIUM</t>
  </si>
  <si>
    <t>JOB EXPENSE</t>
  </si>
  <si>
    <t>PROFIT @</t>
  </si>
  <si>
    <t>BASE BID PRICE</t>
  </si>
  <si>
    <t>MAN LOAD</t>
  </si>
  <si>
    <t>MOBILIZATION / DEMOBILIZATION</t>
  </si>
  <si>
    <t>SUPERVISOR RATE</t>
  </si>
  <si>
    <t>UNSKILLED LABOR RATE</t>
  </si>
  <si>
    <t>TOTAL MANHOURS WITH SUPERVISION</t>
  </si>
  <si>
    <t>NUMBER OF MAN-DAYS</t>
  </si>
  <si>
    <t>MAN-LOADING AND SUPERVISION ANALYSIS</t>
  </si>
  <si>
    <t>SUBTOTAL HOURS</t>
  </si>
  <si>
    <t>CSI NO.</t>
  </si>
  <si>
    <t>09 00 00</t>
  </si>
  <si>
    <t>FINISHES</t>
  </si>
  <si>
    <t>JOURNEYMAN RATE</t>
  </si>
  <si>
    <t>02 00 00</t>
  </si>
  <si>
    <t>SELECTIVE DEMOLITION</t>
  </si>
  <si>
    <t xml:space="preserve">02 41 19 </t>
  </si>
  <si>
    <t>GYPSUM BOARD ASSEMBLIES</t>
  </si>
  <si>
    <t xml:space="preserve">09 21 16 </t>
  </si>
  <si>
    <t>Notes:</t>
  </si>
  <si>
    <t>Date:</t>
  </si>
  <si>
    <t>All other prices are excluded that are not included in the estimate above.</t>
  </si>
  <si>
    <t>DIVISION</t>
  </si>
  <si>
    <t>BOND &amp; INSURANCE</t>
  </si>
  <si>
    <t>PROJECT SUPERVISION &amp; PROJECT MANAGEMENT</t>
  </si>
  <si>
    <t xml:space="preserve">SUBMITTALS, SAMPLES, SHOP DRAWINGS, SITE SAFETY PLAN, ETC. </t>
  </si>
  <si>
    <t xml:space="preserve">TEMPORARY FACILITIES &amp; CONTROLS </t>
  </si>
  <si>
    <t>PROJECT SCHEDULE (Primavera P3 or P6)</t>
  </si>
  <si>
    <t>OFFICE OVERHEADS</t>
  </si>
  <si>
    <t xml:space="preserve">CLOSEOUT PROCEDURES </t>
  </si>
  <si>
    <t xml:space="preserve">PERMITS </t>
  </si>
  <si>
    <t>QTY W/
WASTAGE</t>
  </si>
  <si>
    <t>MAN HOUR RATE</t>
  </si>
  <si>
    <t>WASTAGE %</t>
  </si>
  <si>
    <t>01 00 00</t>
  </si>
  <si>
    <t>GENERAL REQUIREMENTS</t>
  </si>
  <si>
    <t>SF</t>
  </si>
  <si>
    <t>EXISTING CONDITIONS/ DEMOLITION</t>
  </si>
  <si>
    <t>COST/ SF</t>
  </si>
  <si>
    <t>ADDITIONAL COST (If Any)</t>
  </si>
  <si>
    <t>TOTAL LABOR HOURS</t>
  </si>
  <si>
    <t>OVERHEAD COST</t>
  </si>
  <si>
    <t>PROFIT COST</t>
  </si>
  <si>
    <t xml:space="preserve">Project Scope: </t>
  </si>
  <si>
    <t>Addendum:</t>
  </si>
  <si>
    <t>N/A</t>
  </si>
  <si>
    <t>PROJECT COST</t>
  </si>
  <si>
    <t>TOTAL MATERIAL</t>
  </si>
  <si>
    <t>TOTAL LABOR</t>
  </si>
  <si>
    <t>TOTAL HOURS</t>
  </si>
  <si>
    <t>LF</t>
  </si>
  <si>
    <t>Scaffolding (Means &amp; Method)</t>
  </si>
  <si>
    <t>TOTAL BID COST</t>
  </si>
  <si>
    <t>Online sources are used for pricing purpose. Please verify, as per your own convenience.</t>
  </si>
  <si>
    <t>Cells highlighted with green, please price the items as per your own facility.</t>
  </si>
  <si>
    <t>TOTAL COST W/ OVERHEADS + PROFIT</t>
  </si>
  <si>
    <t>Prices can vary, depending upon field conditions.</t>
  </si>
  <si>
    <t>PROFIT</t>
  </si>
  <si>
    <t>Sidewalk Bridge</t>
  </si>
  <si>
    <t>FACILITY CONSTRUCTION SUBGROUP WORK</t>
  </si>
  <si>
    <t>GENERAL REQUIREMENTS SUBGROUP WORK</t>
  </si>
  <si>
    <t>WAGE RATE</t>
  </si>
  <si>
    <t>Site GSF:</t>
  </si>
  <si>
    <t>UNIT COST</t>
  </si>
  <si>
    <t>SUBTOTAL</t>
  </si>
  <si>
    <t>TOTAL</t>
  </si>
  <si>
    <t>CELLS HIGHLIGHTED WITH GREEN, PLEASE PRICE THE ITEMS AS PER YOUR OWN FACILITY.</t>
  </si>
  <si>
    <t>Building GSF:</t>
  </si>
  <si>
    <t>Final Cleanup</t>
  </si>
  <si>
    <t>EA</t>
  </si>
  <si>
    <t>WK</t>
  </si>
  <si>
    <t>INSERT VALUES IN RESPECTIVE HIGHLIGHTED CELLS WHERE APPLICABLE</t>
  </si>
  <si>
    <r>
      <t>Crane or Lift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A50021"/>
        <rFont val="Calibri"/>
        <family val="2"/>
        <scheme val="minor"/>
      </rPr>
      <t>(If Required)</t>
    </r>
  </si>
  <si>
    <t>BY OTHERS/ SEPERATE PERMIT/ BY OWNER</t>
  </si>
  <si>
    <t>NEED QUOTATION</t>
  </si>
  <si>
    <t>Acoustical Sealant</t>
  </si>
  <si>
    <t>Remove Existing Horiz. Metal Arch @ Storefront</t>
  </si>
  <si>
    <t>Remove Existing 3-5/8" Metal Stud Wall (14'-6" H)</t>
  </si>
  <si>
    <t>Remove Existing 6" Metal Stud Wall (14'-6" H)</t>
  </si>
  <si>
    <t>Remove Existing 6" Double Metal Stud Wall (14'-6" H)</t>
  </si>
  <si>
    <t>Remove Existing Partition Wall w/ Door (8'-0" H)</t>
  </si>
  <si>
    <t>Remove Existing 3-5/8" Metal Stud Wall (18'-0" H)</t>
  </si>
  <si>
    <t>Remove Existing 3-5/8" Metal Stud Wall (16'-0" H)</t>
  </si>
  <si>
    <t>Remove Existing 3-5/8" Metal Stud Wall (24'-0" H)</t>
  </si>
  <si>
    <t>Remove Existing 6" Metal Furring Stud Wall (16'-0" H)</t>
  </si>
  <si>
    <t>Remove Existing 6" Metal Stud Wall (24'-0" H)</t>
  </si>
  <si>
    <t>Remove Existing Gypsum Board Ceiling</t>
  </si>
  <si>
    <t>D-1.0</t>
  </si>
  <si>
    <t>INTERIOR WALLS:</t>
  </si>
  <si>
    <t>3-5/8" Metal Stud @ 16" O.C (14'-6" H)</t>
  </si>
  <si>
    <t>3-5/8" Metal Top Track</t>
  </si>
  <si>
    <t>3-5/8" Metal Bottom Track</t>
  </si>
  <si>
    <r>
      <t xml:space="preserve">5/8" Type X Gypsum Wall Board </t>
    </r>
    <r>
      <rPr>
        <b/>
        <sz val="11"/>
        <color theme="1"/>
        <rFont val="Calibri"/>
        <family val="2"/>
        <scheme val="minor"/>
      </rPr>
      <t>(4'x8'. EA)</t>
    </r>
  </si>
  <si>
    <r>
      <t xml:space="preserve">3/4" Pegboard </t>
    </r>
    <r>
      <rPr>
        <b/>
        <sz val="11"/>
        <color theme="1"/>
        <rFont val="Calibri"/>
        <family val="2"/>
        <scheme val="minor"/>
      </rPr>
      <t>(4'x8'. EA)</t>
    </r>
  </si>
  <si>
    <t>Horizontal Metal Bridging @ 48" O.C</t>
  </si>
  <si>
    <t>3-5/8" Metal Stud @ 16" O.C (15'-6" H)</t>
  </si>
  <si>
    <t>3-5/8" Metal Stud @ 16" O.C (18'-0" H)</t>
  </si>
  <si>
    <r>
      <t xml:space="preserve">5/8" Plywood Sheathing </t>
    </r>
    <r>
      <rPr>
        <b/>
        <sz val="11"/>
        <color theme="1"/>
        <rFont val="Calibri"/>
        <family val="2"/>
        <scheme val="minor"/>
      </rPr>
      <t>(4'x8'. EA)</t>
    </r>
  </si>
  <si>
    <t>3" Cont. LTTR-13 Polyiso Insulation</t>
  </si>
  <si>
    <t>3-5/8" Metal Stud @ 16" O.C (22'-6" H)</t>
  </si>
  <si>
    <t>3-5/8" Metal Stud @ 16" O.C (16'-0" H)</t>
  </si>
  <si>
    <t>"WALL TAG 12" 3-5/8" Metal Stud @ 16" O.C (15'-6" H)</t>
  </si>
  <si>
    <t>"WALL TAG 1" 3-5/8" Metal Stud @ 16" O.C (18'-0" H)</t>
  </si>
  <si>
    <t>"WALL TAG 23" 3-5/8" Metal Stud @ 16" O.C (22'-6" H)</t>
  </si>
  <si>
    <t>"WALL TAG 2" 3-5/8" Metal Stud @ 16" O.C (16'-0" H)</t>
  </si>
  <si>
    <t>"WALL TAG 3" Existing Metal Stud Wall (14'-0" H)</t>
  </si>
  <si>
    <t>"WALL TAG 5" 6" Metal Stud Wall @ 16" O.C (24'-0" H)</t>
  </si>
  <si>
    <t>"WALL TAG 6" 6" Metal Stud Wall @ 16" O.C (24'-0" H)</t>
  </si>
  <si>
    <t>"WALL TAG 33" 6" Metal Stud Wall @ 16" O.C (24'-0" H)</t>
  </si>
  <si>
    <t>"WALL TAG 4" 6" Metal Stud Wall @ 16" O.C (24'-0" H)</t>
  </si>
  <si>
    <t>"WALL TAG 24" 6" Metal Stud Wall @ 16" O.C (24'-0" H)</t>
  </si>
  <si>
    <t>6" Metal Stud @ 16" O.C (24'-0" H)</t>
  </si>
  <si>
    <t>6" Metal Top Track</t>
  </si>
  <si>
    <t>6" Metal Bottom Track</t>
  </si>
  <si>
    <t>3-5/8" Metal Stud @ 16" O.C (19'-0" H)</t>
  </si>
  <si>
    <t>"WALL TAG 28" 3-5/8" Metal Stud Wall @ 16" O.C (19'-0" H)</t>
  </si>
  <si>
    <r>
      <t xml:space="preserve">5/8" OSB Plywood Sheathing </t>
    </r>
    <r>
      <rPr>
        <b/>
        <sz val="11"/>
        <color theme="1"/>
        <rFont val="Calibri"/>
        <family val="2"/>
        <scheme val="minor"/>
      </rPr>
      <t>(4'x8'. EA)</t>
    </r>
  </si>
  <si>
    <t>"WALL TAG 7" 3-5/8" Metal Stud Wall @ 16" O.C (14'-6" H)</t>
  </si>
  <si>
    <t>"WALL TAG 10" 3-5/8" Metal Stud Wall @ 16" O.C (12'-0" H)</t>
  </si>
  <si>
    <t>3-5/8" Metal Stud @ 16" O.C (12'-0" H)</t>
  </si>
  <si>
    <t>3-5/8" Metal Kicker Plate @ 48" O.C</t>
  </si>
  <si>
    <t>"WALL TAG 9" 3-5/8" Metal Stud Wall @ 16" O.C (12'-0" H)</t>
  </si>
  <si>
    <t>3" Thk. Sound Attenuation Batt Insulation</t>
  </si>
  <si>
    <r>
      <t xml:space="preserve">5/8" Gypsum Board Ceiling </t>
    </r>
    <r>
      <rPr>
        <b/>
        <sz val="11"/>
        <color theme="1"/>
        <rFont val="Calibri"/>
        <family val="2"/>
        <scheme val="minor"/>
      </rPr>
      <t>(4'x8'. EA)</t>
    </r>
  </si>
  <si>
    <r>
      <t xml:space="preserve">5/8" Moisture Resistant Board Ceiling </t>
    </r>
    <r>
      <rPr>
        <b/>
        <sz val="11"/>
        <color theme="1"/>
        <rFont val="Calibri"/>
        <family val="2"/>
        <scheme val="minor"/>
      </rPr>
      <t>(4'x8'. EA)</t>
    </r>
  </si>
  <si>
    <t>BACKER BOARD:</t>
  </si>
  <si>
    <t>CEILING:</t>
  </si>
  <si>
    <r>
      <t xml:space="preserve">1/2" Cementitious Backer Board </t>
    </r>
    <r>
      <rPr>
        <b/>
        <sz val="11"/>
        <color theme="1"/>
        <rFont val="Calibri"/>
        <family val="2"/>
        <scheme val="minor"/>
      </rPr>
      <t>(4'x8'. EA)</t>
    </r>
  </si>
  <si>
    <t>Remove Existing Storefront Doors w/ Glazing &amp; All Associated Components (19'-0" H)</t>
  </si>
  <si>
    <t>3" Thk. Batt Insulation</t>
  </si>
  <si>
    <t>1x4 Trim @ Pegboard Top</t>
  </si>
  <si>
    <t>1x6 Trim @ Pegboard Top</t>
  </si>
  <si>
    <t>1x4 Trim @ Mid Span Pegboard</t>
  </si>
  <si>
    <t>1x8 Trim @ Mid Span Pegboard</t>
  </si>
  <si>
    <t>5-1/2" Thk. Batt Insulation</t>
  </si>
  <si>
    <t>3" Thk. Epoxy Pin Batt Insulation</t>
  </si>
  <si>
    <t>HOBBY LOBBY</t>
  </si>
  <si>
    <t>AURORA, COLORADO 6584 S. PARKER ROAD</t>
  </si>
  <si>
    <t>DRYWALL</t>
  </si>
  <si>
    <t>"WALL TAG 19" 3-5/8" Metal Stud Wall @ 16" O.C (12'-0" H)</t>
  </si>
  <si>
    <t>"WALL TAG 29" 3-5/8" Metal Stud Wall @ 16" O.C (14'-6" H)</t>
  </si>
  <si>
    <t>"WALL TAG 13" 3-5/8" Metal Stud Wall @ 16" O.C (12'-0" H)</t>
  </si>
  <si>
    <t>"WALL TAG 27" 3-5/8" Metal Stud Wall @ 16" O.C (14'-6" H)</t>
  </si>
  <si>
    <t>"WALL TAG 26" 3-5/8" Metal Stud Wall @ 16" O.C (12'-0" H)</t>
  </si>
  <si>
    <t>"WALL TAG 25" 3-5/8" Metal Stud Wall @ 16" O.C (14'-6" H)</t>
  </si>
  <si>
    <t>"WALL TAG 18" 3-5/8" Metal Stud Wall @ 16" O.C (14'-6" H)</t>
  </si>
  <si>
    <t>"WALL TAG 20" 3-5/8" Metal Stud Wall @ 16" O.C (14'-6" H)</t>
  </si>
  <si>
    <t>3-5/8" Metal Stud @ 16" O.C (13'-0" H)</t>
  </si>
  <si>
    <t>"WALL TAG 21" 3-5/8" Metal Stud Wall @ 16" O.C (14'-6" H)</t>
  </si>
  <si>
    <t>"WALL TAG 11" 3-5/8" Metal Stud Wall @ 16" O.C (14'-6" H)</t>
  </si>
  <si>
    <t>"WALL TAG 22" 3-5/8" Metal Stud Wall @ 16" O.C (14'-6" H)</t>
  </si>
  <si>
    <t>"WALL TAG 31" 6" Metal Stud Wall @ 16" O.C (14'-6" H)</t>
  </si>
  <si>
    <t>"WALL TAG 14" 6" Metal Stud Wall @ 16" O.C (14'-6" H)</t>
  </si>
  <si>
    <t>6" Metal Stud @ 16" O.C (14'-6" H)</t>
  </si>
  <si>
    <t>"WALL TAG 15" 3-5/8" Metal Stud Wall @ 16" O.C (14'-6" H)</t>
  </si>
  <si>
    <t>"WALL TAG 32" 6" Metal Stud Wall @ 16" O.C (14'-6" H)</t>
  </si>
  <si>
    <t>5-1/2" Thk. Sound Attenuation Batt Insulation</t>
  </si>
  <si>
    <t>"WALL TAG 16" 3-5/8" Metal Stud Wall @ 16" O.C (13'-0" H)</t>
  </si>
  <si>
    <t>"WALL TAG 8" 3-5/8" Double Metal Stud Wall @ 16" O.C (14'-6" H)</t>
  </si>
  <si>
    <t>Horizontal Cross Bracing @ 36" O.C</t>
  </si>
  <si>
    <t>"WALL TAG 30" 3-5/8" Double Metal Stud Wall @ 16" O.C (12'-0" H)</t>
  </si>
  <si>
    <t>3-5/8" Metal Stud Wall @ 16" O.C (1'-3" H)</t>
  </si>
  <si>
    <t>METAL STUD WALL UPSIDE OF STOREFRONT:</t>
  </si>
  <si>
    <t>3-5/8" Metal Stud @ 16" O.C (1'-3" H)</t>
  </si>
  <si>
    <t>3-5/8" Metal Stud Wall @ 16" O.C (4'-8" H)</t>
  </si>
  <si>
    <t>3-5/8" Metal Stud @ 16" O.C (4'-8" H)</t>
  </si>
  <si>
    <t>"WALL TAG 17" 3-5/8" Metal Stud Wall @ 16" O.C (13'-0" H)</t>
  </si>
  <si>
    <t>A1.0 - A1.1</t>
  </si>
  <si>
    <t>A5.0 - A6.0/Detail</t>
  </si>
  <si>
    <t>Note: All Metal Wall Are 20 GA.</t>
  </si>
  <si>
    <t>Taping</t>
  </si>
  <si>
    <t>Mudding Compound</t>
  </si>
  <si>
    <t>LBS</t>
  </si>
  <si>
    <t>Screws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</si>
</sst>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[$$-409]* #,##0.00_ ;_-[$$-409]* \-#,##0.00\ ;_-[$$-409]* &quot;-&quot;??_ ;_-@_ "/>
    <numFmt numFmtId="166" formatCode="_-* #,##0.00_-;\-* #,##0.00_-;_-* &quot;-&quot;_-;_-@_-"/>
    <numFmt numFmtId="167" formatCode="_-[$$-409]* #,##0_ ;_-[$$-409]* \-#,##0\ ;_-[$$-409]* &quot;-&quot;??_ ;_-@_ "/>
    <numFmt numFmtId="168" formatCode="_(&quot;$&quot;* #,##0_);_(&quot;$&quot;* \(#,##0\);_(&quot;$&quot;* &quot;-&quot;??_);_(@_)"/>
    <numFmt numFmtId="169" formatCode="00\ 00\ 00"/>
    <numFmt numFmtId="170" formatCode="&quot;$&quot;#,##0.00"/>
    <numFmt numFmtId="171" formatCode="[$-F800]dddd\,\ mmmm\ dd\,\ 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4"/>
      <color rgb="FFA500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3" borderId="36" applyNumberFormat="0" applyFont="0" applyAlignment="0" applyProtection="0"/>
  </cellStyleXfs>
  <cellXfs count="320">
    <xf numFmtId="0" fontId="0" fillId="0" borderId="0" xfId="0"/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8" fontId="4" fillId="0" borderId="28" xfId="1" applyNumberFormat="1" applyFont="1" applyBorder="1" applyAlignment="1">
      <alignment horizontal="center" vertical="center"/>
    </xf>
    <xf numFmtId="168" fontId="4" fillId="0" borderId="28" xfId="1" applyNumberFormat="1" applyFont="1" applyFill="1" applyBorder="1" applyAlignment="1">
      <alignment horizontal="center" vertical="center" wrapText="1"/>
    </xf>
    <xf numFmtId="165" fontId="6" fillId="0" borderId="35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0" fillId="0" borderId="9" xfId="4" applyFont="1" applyBorder="1" applyAlignment="1">
      <alignment vertical="center"/>
    </xf>
    <xf numFmtId="164" fontId="0" fillId="0" borderId="26" xfId="4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9" fontId="5" fillId="0" borderId="3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169" fontId="6" fillId="0" borderId="25" xfId="0" applyNumberFormat="1" applyFont="1" applyBorder="1" applyAlignment="1">
      <alignment horizontal="center" vertical="center"/>
    </xf>
    <xf numFmtId="43" fontId="0" fillId="0" borderId="9" xfId="4" applyNumberFormat="1" applyFont="1" applyBorder="1" applyAlignment="1">
      <alignment vertical="center"/>
    </xf>
    <xf numFmtId="9" fontId="3" fillId="2" borderId="8" xfId="2" applyFont="1" applyFill="1" applyBorder="1" applyAlignment="1">
      <alignment horizontal="center" vertical="center"/>
    </xf>
    <xf numFmtId="170" fontId="3" fillId="2" borderId="8" xfId="1" applyNumberFormat="1" applyFont="1" applyFill="1" applyBorder="1" applyAlignment="1">
      <alignment horizontal="center" vertical="center"/>
    </xf>
    <xf numFmtId="170" fontId="0" fillId="2" borderId="8" xfId="1" applyNumberFormat="1" applyFont="1" applyFill="1" applyBorder="1" applyAlignment="1">
      <alignment horizontal="center" vertical="center"/>
    </xf>
    <xf numFmtId="170" fontId="0" fillId="2" borderId="7" xfId="1" applyNumberFormat="1" applyFont="1" applyFill="1" applyBorder="1" applyAlignment="1">
      <alignment horizontal="center" vertical="center"/>
    </xf>
    <xf numFmtId="2" fontId="0" fillId="2" borderId="8" xfId="4" applyNumberFormat="1" applyFont="1" applyFill="1" applyBorder="1" applyAlignment="1">
      <alignment horizontal="center" vertical="center"/>
    </xf>
    <xf numFmtId="170" fontId="0" fillId="2" borderId="1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69" fontId="15" fillId="0" borderId="12" xfId="0" applyNumberFormat="1" applyFont="1" applyBorder="1" applyAlignment="1">
      <alignment horizontal="center" vertical="center" wrapText="1"/>
    </xf>
    <xf numFmtId="169" fontId="5" fillId="0" borderId="12" xfId="0" applyNumberFormat="1" applyFont="1" applyBorder="1" applyAlignment="1">
      <alignment horizontal="center" vertical="center"/>
    </xf>
    <xf numFmtId="166" fontId="0" fillId="2" borderId="14" xfId="4" applyNumberFormat="1" applyFont="1" applyFill="1" applyBorder="1" applyAlignment="1">
      <alignment horizontal="center" vertical="center"/>
    </xf>
    <xf numFmtId="166" fontId="0" fillId="0" borderId="0" xfId="4" applyNumberFormat="1" applyFont="1" applyAlignment="1">
      <alignment horizontal="center" vertical="center"/>
    </xf>
    <xf numFmtId="167" fontId="0" fillId="0" borderId="0" xfId="4" applyNumberFormat="1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3" xfId="4" applyNumberFormat="1" applyFont="1" applyFill="1" applyBorder="1" applyAlignment="1">
      <alignment horizontal="center" vertical="center"/>
    </xf>
    <xf numFmtId="2" fontId="5" fillId="2" borderId="3" xfId="4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68" fontId="4" fillId="0" borderId="39" xfId="1" applyNumberFormat="1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3" fillId="2" borderId="8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0" fontId="0" fillId="0" borderId="40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69" fontId="0" fillId="0" borderId="12" xfId="0" applyNumberFormat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4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5" fillId="0" borderId="8" xfId="0" applyFont="1" applyBorder="1" applyAlignment="1">
      <alignment horizontal="right" vertical="center" wrapText="1"/>
    </xf>
    <xf numFmtId="0" fontId="0" fillId="0" borderId="23" xfId="0" applyBorder="1" applyAlignment="1">
      <alignment horizontal="center" vertical="center" wrapText="1"/>
    </xf>
    <xf numFmtId="0" fontId="4" fillId="2" borderId="32" xfId="3" applyFont="1" applyFill="1" applyBorder="1" applyAlignment="1">
      <alignment vertical="center"/>
    </xf>
    <xf numFmtId="0" fontId="4" fillId="2" borderId="30" xfId="3" applyFont="1" applyFill="1" applyBorder="1" applyAlignment="1">
      <alignment vertical="center"/>
    </xf>
    <xf numFmtId="165" fontId="5" fillId="2" borderId="30" xfId="1" applyNumberFormat="1" applyFont="1" applyFill="1" applyBorder="1" applyAlignment="1">
      <alignment horizontal="center" vertical="center"/>
    </xf>
    <xf numFmtId="165" fontId="5" fillId="2" borderId="47" xfId="4" applyNumberFormat="1" applyFont="1" applyFill="1" applyBorder="1" applyAlignment="1">
      <alignment horizontal="center" vertical="center"/>
    </xf>
    <xf numFmtId="2" fontId="5" fillId="2" borderId="47" xfId="4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9" fontId="0" fillId="0" borderId="0" xfId="2" applyFont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9" fontId="0" fillId="0" borderId="59" xfId="2" applyFont="1" applyFill="1" applyBorder="1" applyAlignment="1">
      <alignment vertical="center"/>
    </xf>
    <xf numFmtId="170" fontId="0" fillId="2" borderId="10" xfId="1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169" fontId="15" fillId="0" borderId="60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9" fontId="3" fillId="2" borderId="7" xfId="2" applyFont="1" applyFill="1" applyBorder="1" applyAlignment="1">
      <alignment horizontal="center" vertical="center"/>
    </xf>
    <xf numFmtId="1" fontId="3" fillId="2" borderId="7" xfId="3" applyNumberFormat="1" applyFont="1" applyFill="1" applyBorder="1" applyAlignment="1">
      <alignment horizontal="center" vertical="center"/>
    </xf>
    <xf numFmtId="170" fontId="3" fillId="2" borderId="7" xfId="1" applyNumberFormat="1" applyFont="1" applyFill="1" applyBorder="1" applyAlignment="1">
      <alignment horizontal="center" vertical="center"/>
    </xf>
    <xf numFmtId="2" fontId="0" fillId="2" borderId="7" xfId="4" applyNumberFormat="1" applyFont="1" applyFill="1" applyBorder="1" applyAlignment="1">
      <alignment horizontal="center" vertical="center"/>
    </xf>
    <xf numFmtId="170" fontId="0" fillId="2" borderId="43" xfId="1" applyNumberFormat="1" applyFont="1" applyFill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5" xfId="0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169" fontId="0" fillId="0" borderId="66" xfId="0" applyNumberForma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1" fontId="0" fillId="0" borderId="20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70" fontId="0" fillId="2" borderId="59" xfId="1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" fontId="0" fillId="0" borderId="68" xfId="0" applyNumberForma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170" fontId="3" fillId="2" borderId="71" xfId="1" applyNumberFormat="1" applyFont="1" applyFill="1" applyBorder="1" applyAlignment="1">
      <alignment horizontal="center" vertical="center"/>
    </xf>
    <xf numFmtId="170" fontId="0" fillId="2" borderId="69" xfId="1" applyNumberFormat="1" applyFont="1" applyFill="1" applyBorder="1" applyAlignment="1">
      <alignment horizontal="center" vertical="center"/>
    </xf>
    <xf numFmtId="170" fontId="0" fillId="2" borderId="37" xfId="1" applyNumberFormat="1" applyFont="1" applyFill="1" applyBorder="1" applyAlignment="1">
      <alignment horizontal="center" vertical="center"/>
    </xf>
    <xf numFmtId="2" fontId="0" fillId="2" borderId="71" xfId="4" applyNumberFormat="1" applyFont="1" applyFill="1" applyBorder="1" applyAlignment="1">
      <alignment horizontal="center" vertical="center"/>
    </xf>
    <xf numFmtId="170" fontId="0" fillId="2" borderId="70" xfId="1" applyNumberFormat="1" applyFont="1" applyFill="1" applyBorder="1" applyAlignment="1">
      <alignment horizontal="center" vertical="center"/>
    </xf>
    <xf numFmtId="170" fontId="0" fillId="2" borderId="72" xfId="1" applyNumberFormat="1" applyFont="1" applyFill="1" applyBorder="1" applyAlignment="1">
      <alignment horizontal="center" vertical="center"/>
    </xf>
    <xf numFmtId="0" fontId="14" fillId="0" borderId="47" xfId="0" applyFont="1" applyBorder="1" applyAlignment="1">
      <alignment vertical="center" wrapText="1"/>
    </xf>
    <xf numFmtId="0" fontId="6" fillId="0" borderId="54" xfId="0" applyFont="1" applyBorder="1" applyAlignment="1">
      <alignment horizontal="center" vertical="center"/>
    </xf>
    <xf numFmtId="1" fontId="7" fillId="0" borderId="49" xfId="0" applyNumberFormat="1" applyFont="1" applyBorder="1" applyAlignment="1">
      <alignment horizontal="center" vertical="center"/>
    </xf>
    <xf numFmtId="9" fontId="3" fillId="2" borderId="73" xfId="2" applyFont="1" applyFill="1" applyBorder="1" applyAlignment="1">
      <alignment horizontal="center" vertical="center"/>
    </xf>
    <xf numFmtId="1" fontId="3" fillId="2" borderId="37" xfId="3" applyNumberFormat="1" applyFont="1" applyFill="1" applyBorder="1" applyAlignment="1">
      <alignment horizontal="center" vertical="center"/>
    </xf>
    <xf numFmtId="0" fontId="0" fillId="0" borderId="68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68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166" fontId="4" fillId="0" borderId="3" xfId="4" applyNumberFormat="1" applyFont="1" applyFill="1" applyBorder="1" applyAlignment="1">
      <alignment horizontal="center" vertical="center" wrapText="1"/>
    </xf>
    <xf numFmtId="167" fontId="4" fillId="0" borderId="3" xfId="4" applyNumberFormat="1" applyFont="1" applyFill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4" fillId="0" borderId="42" xfId="1" applyNumberFormat="1" applyFont="1" applyFill="1" applyBorder="1" applyAlignment="1">
      <alignment horizontal="center" vertical="center" wrapText="1"/>
    </xf>
    <xf numFmtId="167" fontId="6" fillId="0" borderId="6" xfId="0" applyNumberFormat="1" applyFont="1" applyBorder="1" applyAlignment="1">
      <alignment vertical="center"/>
    </xf>
    <xf numFmtId="167" fontId="0" fillId="0" borderId="34" xfId="0" applyNumberFormat="1" applyBorder="1" applyAlignment="1">
      <alignment vertical="center"/>
    </xf>
    <xf numFmtId="167" fontId="6" fillId="0" borderId="9" xfId="0" applyNumberFormat="1" applyFont="1" applyBorder="1" applyAlignment="1">
      <alignment vertical="center"/>
    </xf>
    <xf numFmtId="167" fontId="0" fillId="0" borderId="21" xfId="0" applyNumberFormat="1" applyBorder="1" applyAlignment="1">
      <alignment vertical="center"/>
    </xf>
    <xf numFmtId="167" fontId="6" fillId="0" borderId="29" xfId="0" applyNumberFormat="1" applyFont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169" fontId="0" fillId="2" borderId="0" xfId="0" applyNumberForma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2" fillId="4" borderId="1" xfId="5" applyFont="1" applyFill="1" applyBorder="1" applyAlignment="1">
      <alignment vertical="center" wrapText="1"/>
    </xf>
    <xf numFmtId="0" fontId="12" fillId="4" borderId="4" xfId="5" applyFont="1" applyFill="1" applyBorder="1" applyAlignment="1">
      <alignment vertical="center" wrapText="1"/>
    </xf>
    <xf numFmtId="0" fontId="12" fillId="4" borderId="4" xfId="5" applyFont="1" applyFill="1" applyBorder="1" applyAlignment="1">
      <alignment horizontal="center" vertical="center" wrapText="1"/>
    </xf>
    <xf numFmtId="0" fontId="18" fillId="4" borderId="4" xfId="5" applyFont="1" applyFill="1" applyBorder="1" applyAlignment="1">
      <alignment vertical="center" wrapText="1"/>
    </xf>
    <xf numFmtId="0" fontId="12" fillId="4" borderId="2" xfId="5" applyFont="1" applyFill="1" applyBorder="1" applyAlignment="1">
      <alignment vertical="center" wrapText="1"/>
    </xf>
    <xf numFmtId="1" fontId="7" fillId="0" borderId="46" xfId="0" applyNumberFormat="1" applyFont="1" applyBorder="1" applyAlignment="1">
      <alignment horizontal="center" vertical="center"/>
    </xf>
    <xf numFmtId="167" fontId="5" fillId="0" borderId="47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12" fillId="4" borderId="61" xfId="5" applyFont="1" applyFill="1" applyBorder="1" applyAlignment="1">
      <alignment horizontal="center" vertical="center" wrapText="1"/>
    </xf>
    <xf numFmtId="0" fontId="18" fillId="4" borderId="62" xfId="5" applyFont="1" applyFill="1" applyBorder="1" applyAlignment="1">
      <alignment vertical="center" wrapText="1"/>
    </xf>
    <xf numFmtId="0" fontId="12" fillId="6" borderId="32" xfId="5" applyFont="1" applyFill="1" applyBorder="1" applyAlignment="1">
      <alignment vertical="center" wrapText="1"/>
    </xf>
    <xf numFmtId="0" fontId="12" fillId="6" borderId="33" xfId="5" applyFont="1" applyFill="1" applyBorder="1" applyAlignment="1">
      <alignment vertical="center" wrapText="1"/>
    </xf>
    <xf numFmtId="0" fontId="12" fillId="6" borderId="33" xfId="5" applyFont="1" applyFill="1" applyBorder="1" applyAlignment="1">
      <alignment horizontal="center" vertical="center" wrapText="1"/>
    </xf>
    <xf numFmtId="0" fontId="21" fillId="6" borderId="33" xfId="5" applyFont="1" applyFill="1" applyBorder="1" applyAlignment="1">
      <alignment horizontal="center" vertical="center" wrapText="1"/>
    </xf>
    <xf numFmtId="0" fontId="18" fillId="6" borderId="33" xfId="5" applyFont="1" applyFill="1" applyBorder="1" applyAlignment="1">
      <alignment vertical="center" wrapText="1"/>
    </xf>
    <xf numFmtId="0" fontId="12" fillId="6" borderId="30" xfId="5" applyFont="1" applyFill="1" applyBorder="1" applyAlignment="1">
      <alignment vertical="center" wrapText="1"/>
    </xf>
    <xf numFmtId="169" fontId="22" fillId="0" borderId="60" xfId="0" applyNumberFormat="1" applyFont="1" applyBorder="1" applyAlignment="1">
      <alignment horizontal="center" vertical="center" wrapText="1"/>
    </xf>
    <xf numFmtId="44" fontId="5" fillId="7" borderId="3" xfId="1" applyFont="1" applyFill="1" applyBorder="1" applyAlignment="1">
      <alignment vertical="center" wrapText="1"/>
    </xf>
    <xf numFmtId="0" fontId="4" fillId="7" borderId="8" xfId="5" applyFont="1" applyFill="1" applyBorder="1" applyAlignment="1">
      <alignment horizontal="justify" vertical="center"/>
    </xf>
    <xf numFmtId="0" fontId="4" fillId="7" borderId="45" xfId="5" applyFont="1" applyFill="1" applyBorder="1" applyAlignment="1">
      <alignment horizontal="justify" vertical="center"/>
    </xf>
    <xf numFmtId="169" fontId="22" fillId="0" borderId="12" xfId="0" applyNumberFormat="1" applyFont="1" applyBorder="1" applyAlignment="1">
      <alignment horizontal="center" vertical="center" wrapText="1"/>
    </xf>
    <xf numFmtId="165" fontId="12" fillId="6" borderId="22" xfId="1" applyNumberFormat="1" applyFont="1" applyFill="1" applyBorder="1" applyAlignment="1">
      <alignment horizontal="center" vertical="center"/>
    </xf>
    <xf numFmtId="165" fontId="12" fillId="6" borderId="38" xfId="4" applyNumberFormat="1" applyFont="1" applyFill="1" applyBorder="1" applyAlignment="1">
      <alignment horizontal="center" vertical="center"/>
    </xf>
    <xf numFmtId="2" fontId="12" fillId="6" borderId="38" xfId="4" applyNumberFormat="1" applyFont="1" applyFill="1" applyBorder="1" applyAlignment="1">
      <alignment horizontal="center" vertical="center"/>
    </xf>
    <xf numFmtId="167" fontId="12" fillId="6" borderId="38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 wrapText="1"/>
    </xf>
    <xf numFmtId="0" fontId="0" fillId="5" borderId="3" xfId="0" applyFill="1" applyBorder="1" applyAlignment="1">
      <alignment horizontal="center" vertical="center"/>
    </xf>
    <xf numFmtId="168" fontId="4" fillId="8" borderId="39" xfId="1" applyNumberFormat="1" applyFont="1" applyFill="1" applyBorder="1" applyAlignment="1">
      <alignment horizontal="center" vertical="center" wrapText="1"/>
    </xf>
    <xf numFmtId="167" fontId="0" fillId="8" borderId="11" xfId="0" applyNumberFormat="1" applyFill="1" applyBorder="1" applyAlignment="1">
      <alignment horizontal="center" vertical="center"/>
    </xf>
    <xf numFmtId="9" fontId="12" fillId="8" borderId="3" xfId="2" applyFont="1" applyFill="1" applyBorder="1" applyAlignment="1">
      <alignment horizontal="center" vertical="center"/>
    </xf>
    <xf numFmtId="167" fontId="18" fillId="8" borderId="9" xfId="0" applyNumberFormat="1" applyFont="1" applyFill="1" applyBorder="1" applyAlignment="1">
      <alignment vertical="center"/>
    </xf>
    <xf numFmtId="167" fontId="0" fillId="8" borderId="9" xfId="0" applyNumberFormat="1" applyFill="1" applyBorder="1" applyAlignment="1">
      <alignment vertical="center"/>
    </xf>
    <xf numFmtId="165" fontId="25" fillId="8" borderId="21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1" xfId="0" applyFill="1" applyBorder="1" applyAlignment="1">
      <alignment vertical="center"/>
    </xf>
    <xf numFmtId="9" fontId="5" fillId="8" borderId="8" xfId="2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167" fontId="8" fillId="8" borderId="20" xfId="0" applyNumberFormat="1" applyFont="1" applyFill="1" applyBorder="1" applyAlignment="1">
      <alignment horizontal="center" vertical="center" wrapText="1"/>
    </xf>
    <xf numFmtId="0" fontId="26" fillId="6" borderId="19" xfId="0" quotePrefix="1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 wrapText="1"/>
    </xf>
    <xf numFmtId="167" fontId="21" fillId="6" borderId="20" xfId="0" applyNumberFormat="1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 wrapText="1"/>
    </xf>
    <xf numFmtId="165" fontId="12" fillId="4" borderId="8" xfId="0" applyNumberFormat="1" applyFont="1" applyFill="1" applyBorder="1" applyAlignment="1">
      <alignment horizontal="center" vertical="center" wrapText="1"/>
    </xf>
    <xf numFmtId="165" fontId="12" fillId="4" borderId="8" xfId="0" applyNumberFormat="1" applyFont="1" applyFill="1" applyBorder="1" applyAlignment="1">
      <alignment horizontal="center" vertical="center"/>
    </xf>
    <xf numFmtId="165" fontId="12" fillId="4" borderId="11" xfId="0" applyNumberFormat="1" applyFont="1" applyFill="1" applyBorder="1" applyAlignment="1">
      <alignment horizontal="center" vertical="center"/>
    </xf>
    <xf numFmtId="168" fontId="12" fillId="4" borderId="41" xfId="1" applyNumberFormat="1" applyFont="1" applyFill="1" applyBorder="1" applyAlignment="1">
      <alignment horizontal="center" vertical="center" wrapText="1"/>
    </xf>
    <xf numFmtId="167" fontId="21" fillId="6" borderId="40" xfId="0" applyNumberFormat="1" applyFont="1" applyFill="1" applyBorder="1" applyAlignment="1">
      <alignment horizontal="center" vertical="center" wrapText="1"/>
    </xf>
    <xf numFmtId="165" fontId="5" fillId="9" borderId="3" xfId="4" applyNumberFormat="1" applyFont="1" applyFill="1" applyBorder="1" applyAlignment="1">
      <alignment horizontal="center" vertical="center"/>
    </xf>
    <xf numFmtId="2" fontId="5" fillId="9" borderId="3" xfId="4" applyNumberFormat="1" applyFont="1" applyFill="1" applyBorder="1" applyAlignment="1">
      <alignment horizontal="right" vertical="center"/>
    </xf>
    <xf numFmtId="168" fontId="4" fillId="9" borderId="3" xfId="1" applyNumberFormat="1" applyFont="1" applyFill="1" applyBorder="1" applyAlignment="1">
      <alignment horizontal="center" vertical="center" wrapText="1"/>
    </xf>
    <xf numFmtId="167" fontId="4" fillId="9" borderId="41" xfId="1" applyNumberFormat="1" applyFont="1" applyFill="1" applyBorder="1" applyAlignment="1">
      <alignment horizontal="center" vertical="center" wrapText="1"/>
    </xf>
    <xf numFmtId="167" fontId="4" fillId="9" borderId="42" xfId="1" applyNumberFormat="1" applyFont="1" applyFill="1" applyBorder="1" applyAlignment="1">
      <alignment horizontal="center" vertical="center" wrapText="1"/>
    </xf>
    <xf numFmtId="167" fontId="4" fillId="9" borderId="74" xfId="1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167" fontId="0" fillId="8" borderId="34" xfId="0" applyNumberFormat="1" applyFill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165" fontId="0" fillId="2" borderId="8" xfId="1" applyNumberFormat="1" applyFont="1" applyFill="1" applyBorder="1" applyAlignment="1">
      <alignment horizontal="center" vertical="center"/>
    </xf>
    <xf numFmtId="165" fontId="0" fillId="2" borderId="7" xfId="1" applyNumberFormat="1" applyFont="1" applyFill="1" applyBorder="1" applyAlignment="1">
      <alignment horizontal="center" vertical="center"/>
    </xf>
    <xf numFmtId="165" fontId="0" fillId="2" borderId="11" xfId="1" applyNumberFormat="1" applyFont="1" applyFill="1" applyBorder="1" applyAlignment="1">
      <alignment horizontal="center" vertical="center"/>
    </xf>
    <xf numFmtId="9" fontId="3" fillId="2" borderId="59" xfId="2" applyFont="1" applyFill="1" applyBorder="1" applyAlignment="1">
      <alignment horizontal="center" vertical="center"/>
    </xf>
    <xf numFmtId="1" fontId="3" fillId="2" borderId="59" xfId="3" applyNumberFormat="1" applyFont="1" applyFill="1" applyBorder="1" applyAlignment="1">
      <alignment horizontal="center" vertical="center"/>
    </xf>
    <xf numFmtId="170" fontId="3" fillId="2" borderId="59" xfId="1" applyNumberFormat="1" applyFont="1" applyFill="1" applyBorder="1" applyAlignment="1">
      <alignment horizontal="center" vertical="center"/>
    </xf>
    <xf numFmtId="2" fontId="0" fillId="2" borderId="59" xfId="4" applyNumberFormat="1" applyFont="1" applyFill="1" applyBorder="1" applyAlignment="1">
      <alignment horizontal="center" vertical="center"/>
    </xf>
    <xf numFmtId="170" fontId="0" fillId="2" borderId="75" xfId="1" applyNumberFormat="1" applyFont="1" applyFill="1" applyBorder="1" applyAlignment="1">
      <alignment horizontal="center" vertical="center"/>
    </xf>
    <xf numFmtId="170" fontId="0" fillId="2" borderId="64" xfId="1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167" fontId="5" fillId="2" borderId="1" xfId="1" applyNumberFormat="1" applyFont="1" applyFill="1" applyBorder="1" applyAlignment="1">
      <alignment horizontal="center" vertical="center"/>
    </xf>
    <xf numFmtId="167" fontId="5" fillId="2" borderId="2" xfId="1" applyNumberFormat="1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167" fontId="5" fillId="2" borderId="32" xfId="1" applyNumberFormat="1" applyFont="1" applyFill="1" applyBorder="1" applyAlignment="1">
      <alignment horizontal="center" vertical="center"/>
    </xf>
    <xf numFmtId="167" fontId="5" fillId="2" borderId="30" xfId="1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30" xfId="0" applyFont="1" applyBorder="1" applyAlignment="1">
      <alignment horizontal="left" wrapText="1"/>
    </xf>
    <xf numFmtId="0" fontId="14" fillId="0" borderId="17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6" fillId="10" borderId="1" xfId="0" applyNumberFormat="1" applyFont="1" applyFill="1" applyBorder="1" applyAlignment="1">
      <alignment horizontal="center" vertical="center"/>
    </xf>
    <xf numFmtId="165" fontId="6" fillId="10" borderId="4" xfId="0" applyNumberFormat="1" applyFont="1" applyFill="1" applyBorder="1" applyAlignment="1">
      <alignment horizontal="center" vertical="center"/>
    </xf>
    <xf numFmtId="165" fontId="6" fillId="10" borderId="2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165" fontId="6" fillId="5" borderId="4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167" fontId="4" fillId="9" borderId="1" xfId="1" applyNumberFormat="1" applyFont="1" applyFill="1" applyBorder="1" applyAlignment="1">
      <alignment horizontal="right" vertical="center"/>
    </xf>
    <xf numFmtId="167" fontId="4" fillId="9" borderId="4" xfId="1" applyNumberFormat="1" applyFont="1" applyFill="1" applyBorder="1" applyAlignment="1">
      <alignment horizontal="right" vertical="center"/>
    </xf>
    <xf numFmtId="167" fontId="4" fillId="9" borderId="2" xfId="1" applyNumberFormat="1" applyFont="1" applyFill="1" applyBorder="1" applyAlignment="1">
      <alignment horizontal="right" vertical="center"/>
    </xf>
    <xf numFmtId="0" fontId="19" fillId="9" borderId="32" xfId="0" applyFont="1" applyFill="1" applyBorder="1" applyAlignment="1">
      <alignment horizontal="center" vertical="center" wrapText="1"/>
    </xf>
    <xf numFmtId="0" fontId="19" fillId="9" borderId="30" xfId="0" applyFont="1" applyFill="1" applyBorder="1" applyAlignment="1">
      <alignment horizontal="center" vertical="center" wrapText="1"/>
    </xf>
    <xf numFmtId="165" fontId="19" fillId="9" borderId="1" xfId="0" applyNumberFormat="1" applyFont="1" applyFill="1" applyBorder="1" applyAlignment="1">
      <alignment horizontal="center" vertical="center" wrapText="1"/>
    </xf>
    <xf numFmtId="165" fontId="19" fillId="9" borderId="4" xfId="0" applyNumberFormat="1" applyFont="1" applyFill="1" applyBorder="1" applyAlignment="1">
      <alignment horizontal="center" vertical="center" wrapText="1"/>
    </xf>
    <xf numFmtId="165" fontId="19" fillId="9" borderId="2" xfId="0" applyNumberFormat="1" applyFont="1" applyFill="1" applyBorder="1" applyAlignment="1">
      <alignment horizontal="center" vertical="center" wrapText="1"/>
    </xf>
    <xf numFmtId="165" fontId="20" fillId="6" borderId="32" xfId="0" applyNumberFormat="1" applyFont="1" applyFill="1" applyBorder="1" applyAlignment="1">
      <alignment horizontal="center" vertical="center" wrapText="1"/>
    </xf>
    <xf numFmtId="165" fontId="20" fillId="6" borderId="33" xfId="0" applyNumberFormat="1" applyFont="1" applyFill="1" applyBorder="1" applyAlignment="1">
      <alignment horizontal="center" vertical="center" wrapText="1"/>
    </xf>
    <xf numFmtId="165" fontId="20" fillId="6" borderId="30" xfId="0" applyNumberFormat="1" applyFont="1" applyFill="1" applyBorder="1" applyAlignment="1">
      <alignment horizontal="center" vertical="center" wrapText="1"/>
    </xf>
    <xf numFmtId="166" fontId="0" fillId="2" borderId="15" xfId="4" applyNumberFormat="1" applyFont="1" applyFill="1" applyBorder="1" applyAlignment="1">
      <alignment horizontal="center" vertical="center"/>
    </xf>
    <xf numFmtId="166" fontId="0" fillId="2" borderId="22" xfId="4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171" fontId="14" fillId="0" borderId="33" xfId="0" applyNumberFormat="1" applyFont="1" applyBorder="1" applyAlignment="1">
      <alignment horizontal="center" vertical="center" wrapText="1"/>
    </xf>
    <xf numFmtId="171" fontId="14" fillId="0" borderId="30" xfId="0" applyNumberFormat="1" applyFont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/>
    </xf>
    <xf numFmtId="0" fontId="12" fillId="6" borderId="2" xfId="3" applyFont="1" applyFill="1" applyBorder="1" applyAlignment="1">
      <alignment horizontal="center" vertical="center"/>
    </xf>
    <xf numFmtId="167" fontId="12" fillId="6" borderId="63" xfId="1" applyNumberFormat="1" applyFont="1" applyFill="1" applyBorder="1" applyAlignment="1">
      <alignment horizontal="center" vertical="center"/>
    </xf>
    <xf numFmtId="167" fontId="12" fillId="6" borderId="64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</cellXfs>
  <cellStyles count="6">
    <cellStyle name="Comma [0]" xfId="4" builtinId="6"/>
    <cellStyle name="Currency" xfId="1" builtinId="4"/>
    <cellStyle name="Normal" xfId="0" builtinId="0"/>
    <cellStyle name="Normal 2" xfId="3" xr:uid="{00000000-0005-0000-0000-000003000000}"/>
    <cellStyle name="Note 2" xfId="5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A50021"/>
      <color rgb="FFCC0000"/>
      <color rgb="FF09B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558031</xdr:colOff>
      <xdr:row>28</xdr:row>
      <xdr:rowOff>57727</xdr:rowOff>
    </xdr:from>
    <xdr:to>
      <xdr:col>11</xdr:col>
      <xdr:colOff>247729</xdr:colOff>
      <xdr:row>37</xdr:row>
      <xdr:rowOff>92051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1ECFD1-1FCA-324B-3D48-4A6C9B6B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9243" y="9274848"/>
          <a:ext cx="4019244" cy="2843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841591</xdr:colOff>
      <xdr:row>4</xdr:row>
      <xdr:rowOff>193261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7FFE2D-F8C3-1137-49E8-907C227AD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92026" cy="2512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38"/>
  <sheetViews>
    <sheetView tabSelected="1" view="pageBreakPreview" zoomScale="33" zoomScaleNormal="85" zoomScaleSheetLayoutView="70" workbookViewId="0">
      <pane ySplit="1" topLeftCell="A4" activePane="bottomLeft" state="frozen"/>
      <selection pane="bottomLeft" activeCell="V25" sqref="V25"/>
    </sheetView>
  </sheetViews>
  <sheetFormatPr defaultColWidth="9.1796875" defaultRowHeight="14.5" x14ac:dyDescent="0.35"/>
  <cols>
    <col min="1" max="1" width="9.7265625" style="50" customWidth="1"/>
    <col min="2" max="2" width="15.26953125" style="51" customWidth="1"/>
    <col min="3" max="3" width="52.54296875" style="50" customWidth="1"/>
    <col min="4" max="4" width="15.81640625" style="50" customWidth="1"/>
    <col min="5" max="5" width="15.7265625" style="52" customWidth="1"/>
    <col min="6" max="6" width="14.7265625" style="52" customWidth="1"/>
    <col min="7" max="7" width="14.26953125" style="52" customWidth="1"/>
    <col min="8" max="8" width="16.81640625" style="52" customWidth="1"/>
    <col min="9" max="9" width="14.26953125" style="52" customWidth="1"/>
    <col min="10" max="11" width="15.453125" style="52" customWidth="1"/>
    <col min="12" max="13" width="19.1796875" style="52" customWidth="1"/>
    <col min="14" max="14" width="10.7265625" style="50" customWidth="1"/>
    <col min="15" max="16384" width="9.1796875" style="50"/>
  </cols>
  <sheetData>
    <row r="1" spans="1:17" ht="37.5" customHeight="1" thickBot="1" x14ac:dyDescent="0.4">
      <c r="A1" s="251" t="str">
        <f>Worksheet!E1</f>
        <v>HOBBY LOBBY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3"/>
    </row>
    <row r="2" spans="1:17" ht="15" thickBot="1" x14ac:dyDescent="0.4">
      <c r="A2" s="99"/>
      <c r="B2" s="94"/>
      <c r="C2" s="105"/>
      <c r="D2" s="94"/>
      <c r="E2" s="105"/>
      <c r="F2" s="94"/>
      <c r="G2" s="105"/>
      <c r="H2" s="94"/>
      <c r="I2" s="105"/>
      <c r="J2" s="94"/>
      <c r="K2" s="105"/>
      <c r="L2" s="94"/>
      <c r="M2" s="105"/>
      <c r="N2" s="99"/>
    </row>
    <row r="3" spans="1:17" ht="30" customHeight="1" thickBot="1" x14ac:dyDescent="0.4">
      <c r="A3" s="98"/>
      <c r="B3" s="261" t="s">
        <v>24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3"/>
      <c r="N3" s="98"/>
    </row>
    <row r="4" spans="1:17" ht="29.5" thickBot="1" x14ac:dyDescent="0.4">
      <c r="A4" s="98"/>
      <c r="B4" s="4" t="s">
        <v>55</v>
      </c>
      <c r="C4" s="5" t="s">
        <v>1</v>
      </c>
      <c r="D4" s="6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90</v>
      </c>
      <c r="K4" s="198" t="s">
        <v>72</v>
      </c>
      <c r="L4" s="46" t="s">
        <v>22</v>
      </c>
      <c r="M4" s="221" t="s">
        <v>71</v>
      </c>
      <c r="N4" s="98"/>
    </row>
    <row r="5" spans="1:17" ht="20.149999999999999" customHeight="1" x14ac:dyDescent="0.35">
      <c r="A5" s="101"/>
      <c r="B5" s="212"/>
      <c r="C5" s="213" t="str">
        <f>Worksheet!E8</f>
        <v>GENERAL REQUIREMENTS SUBGROUP WORK</v>
      </c>
      <c r="D5" s="214"/>
      <c r="E5" s="214"/>
      <c r="F5" s="215"/>
      <c r="G5" s="215"/>
      <c r="H5" s="215"/>
      <c r="I5" s="215"/>
      <c r="J5" s="215"/>
      <c r="K5" s="216"/>
      <c r="L5" s="216"/>
      <c r="M5" s="217"/>
      <c r="N5" s="101"/>
      <c r="O5" s="52"/>
      <c r="P5" s="52"/>
      <c r="Q5" s="52"/>
    </row>
    <row r="6" spans="1:17" ht="25.15" customHeight="1" x14ac:dyDescent="0.35">
      <c r="A6" s="99"/>
      <c r="B6" s="53" t="str">
        <f>Worksheet!D9</f>
        <v>01 00 00</v>
      </c>
      <c r="C6" s="54" t="str">
        <f>Worksheet!E9</f>
        <v>GENERAL REQUIREMENTS</v>
      </c>
      <c r="D6" s="153">
        <f>Worksheet!J$16</f>
        <v>0</v>
      </c>
      <c r="E6" s="153">
        <f>Worksheet!M$16</f>
        <v>0</v>
      </c>
      <c r="F6" s="154">
        <f>D6*$D$15</f>
        <v>0</v>
      </c>
      <c r="G6" s="154">
        <f>E6*$D$18</f>
        <v>0</v>
      </c>
      <c r="H6" s="154">
        <f t="shared" ref="H6:H8" si="0">D6+E6+F6+G6</f>
        <v>0</v>
      </c>
      <c r="I6" s="154">
        <f>H6*$D$20</f>
        <v>0</v>
      </c>
      <c r="J6" s="154">
        <f>H6*$D$21</f>
        <v>0</v>
      </c>
      <c r="K6" s="199">
        <f>SUM(E$23:E$35)+E$16+(E$16*(D$20+D$21))</f>
        <v>0</v>
      </c>
      <c r="L6" s="155">
        <f>H6+I6+J6+K6</f>
        <v>0</v>
      </c>
      <c r="M6" s="222">
        <f>L6/J$26</f>
        <v>0</v>
      </c>
      <c r="N6" s="99"/>
      <c r="O6" s="91" t="str">
        <f>IF(M6=0,"",(M6/M$11))</f>
        <v/>
      </c>
      <c r="P6" s="52"/>
      <c r="Q6" s="52"/>
    </row>
    <row r="7" spans="1:17" ht="20.149999999999999" customHeight="1" x14ac:dyDescent="0.35">
      <c r="A7" s="98"/>
      <c r="B7" s="212"/>
      <c r="C7" s="213" t="str">
        <f>Worksheet!E17</f>
        <v>FACILITY CONSTRUCTION SUBGROUP WORK</v>
      </c>
      <c r="D7" s="214"/>
      <c r="E7" s="214"/>
      <c r="F7" s="215"/>
      <c r="G7" s="215"/>
      <c r="H7" s="215"/>
      <c r="I7" s="215"/>
      <c r="J7" s="215"/>
      <c r="K7" s="216"/>
      <c r="L7" s="216"/>
      <c r="M7" s="217"/>
      <c r="N7" s="98"/>
      <c r="O7" s="91" t="str">
        <f>IF(M7=0,"",(M7/M$11))</f>
        <v/>
      </c>
      <c r="P7" s="52"/>
      <c r="Q7" s="52"/>
    </row>
    <row r="8" spans="1:17" ht="25.15" customHeight="1" x14ac:dyDescent="0.35">
      <c r="A8" s="98"/>
      <c r="B8" s="53" t="str">
        <f>Worksheet!D18</f>
        <v>02 00 00</v>
      </c>
      <c r="C8" s="54" t="str">
        <f>Worksheet!E18</f>
        <v>EXISTING CONDITIONS/ DEMOLITION</v>
      </c>
      <c r="D8" s="153">
        <f>Worksheet!J$33</f>
        <v>0</v>
      </c>
      <c r="E8" s="153">
        <f>Worksheet!$M33</f>
        <v>46121.018680000001</v>
      </c>
      <c r="F8" s="154">
        <f>D8*$D$15</f>
        <v>0</v>
      </c>
      <c r="G8" s="154">
        <f>E8*$D$18</f>
        <v>0</v>
      </c>
      <c r="H8" s="154">
        <f t="shared" si="0"/>
        <v>46121.018680000001</v>
      </c>
      <c r="I8" s="154">
        <f>H8*$D$20</f>
        <v>4612.1018680000006</v>
      </c>
      <c r="J8" s="154">
        <f>H8*$D$21</f>
        <v>4612.1018680000006</v>
      </c>
      <c r="K8" s="199">
        <v>0</v>
      </c>
      <c r="L8" s="155">
        <f t="shared" ref="L8:L9" si="1">H8+I8+J8+K8</f>
        <v>55345.222415999997</v>
      </c>
      <c r="M8" s="223">
        <f>L8/J$26</f>
        <v>1.0375932211473564</v>
      </c>
      <c r="N8" s="98"/>
      <c r="O8" s="91">
        <f>IF(M8=0,"",(M8/M$11))</f>
        <v>0.20350634004547941</v>
      </c>
      <c r="P8" s="52"/>
      <c r="Q8" s="52"/>
    </row>
    <row r="9" spans="1:17" ht="25.15" customHeight="1" x14ac:dyDescent="0.35">
      <c r="A9" s="98"/>
      <c r="B9" s="53" t="str">
        <f>Worksheet!D34</f>
        <v>09 00 00</v>
      </c>
      <c r="C9" s="54" t="str">
        <f>Worksheet!E34</f>
        <v>FINISHES</v>
      </c>
      <c r="D9" s="153">
        <f>Worksheet!J$377</f>
        <v>64155.766353500767</v>
      </c>
      <c r="E9" s="153">
        <f>Worksheet!$M377</f>
        <v>116355.06668027343</v>
      </c>
      <c r="F9" s="154">
        <f>D9*$D$15</f>
        <v>0</v>
      </c>
      <c r="G9" s="154">
        <f>E9*$D$18</f>
        <v>0</v>
      </c>
      <c r="H9" s="154">
        <f t="shared" ref="H9" si="2">D9+E9+F9+G9</f>
        <v>180510.83303377419</v>
      </c>
      <c r="I9" s="154">
        <f>H9*$D$20</f>
        <v>18051.083303377422</v>
      </c>
      <c r="J9" s="154">
        <f>H9*$D$21</f>
        <v>18051.083303377422</v>
      </c>
      <c r="K9" s="199">
        <v>0</v>
      </c>
      <c r="L9" s="155">
        <f t="shared" si="1"/>
        <v>216612.99964052901</v>
      </c>
      <c r="M9" s="223">
        <f>L9/J$26</f>
        <v>4.0609861199949195</v>
      </c>
      <c r="N9" s="98"/>
      <c r="O9" s="91">
        <f>IF(M9=0,"",(M9/M$11))</f>
        <v>0.79649365995452059</v>
      </c>
      <c r="P9" s="52"/>
      <c r="Q9" s="52"/>
    </row>
    <row r="10" spans="1:17" ht="20.149999999999999" customHeight="1" x14ac:dyDescent="0.35">
      <c r="A10" s="99"/>
      <c r="B10" s="55"/>
      <c r="C10" s="54"/>
      <c r="D10" s="153"/>
      <c r="E10" s="154"/>
      <c r="F10" s="154"/>
      <c r="G10" s="154"/>
      <c r="H10" s="154"/>
      <c r="I10" s="154"/>
      <c r="J10" s="154"/>
      <c r="K10" s="154"/>
      <c r="L10" s="155"/>
      <c r="M10" s="156"/>
      <c r="N10" s="99"/>
      <c r="O10" s="91" t="str">
        <f>IF(M10=0,"",(M10/M$11))</f>
        <v/>
      </c>
      <c r="P10" s="52"/>
      <c r="Q10" s="52"/>
    </row>
    <row r="11" spans="1:17" ht="25.15" customHeight="1" thickBot="1" x14ac:dyDescent="0.4">
      <c r="A11" s="98"/>
      <c r="B11" s="209"/>
      <c r="C11" s="210" t="s">
        <v>23</v>
      </c>
      <c r="D11" s="211">
        <f t="shared" ref="D11:M11" si="3">SUM(D6:D10)</f>
        <v>64155.766353500767</v>
      </c>
      <c r="E11" s="211">
        <f t="shared" si="3"/>
        <v>162476.08536027343</v>
      </c>
      <c r="F11" s="211">
        <f t="shared" si="3"/>
        <v>0</v>
      </c>
      <c r="G11" s="211">
        <f t="shared" si="3"/>
        <v>0</v>
      </c>
      <c r="H11" s="211">
        <f t="shared" si="3"/>
        <v>226631.8517137742</v>
      </c>
      <c r="I11" s="211">
        <f t="shared" si="3"/>
        <v>22663.185171377423</v>
      </c>
      <c r="J11" s="211">
        <f t="shared" si="3"/>
        <v>22663.185171377423</v>
      </c>
      <c r="K11" s="208">
        <f t="shared" si="3"/>
        <v>0</v>
      </c>
      <c r="L11" s="218">
        <f t="shared" si="3"/>
        <v>271958.22205652902</v>
      </c>
      <c r="M11" s="224">
        <f t="shared" si="3"/>
        <v>5.0985793411422762</v>
      </c>
      <c r="N11" s="98"/>
      <c r="O11" s="91">
        <f>IF(M11=0,"",(SUM(O6:O10)))</f>
        <v>1</v>
      </c>
      <c r="P11" s="52"/>
      <c r="Q11" s="52"/>
    </row>
    <row r="12" spans="1:17" ht="25.15" customHeight="1" thickBot="1" x14ac:dyDescent="0.4">
      <c r="A12" s="105"/>
      <c r="B12" s="50"/>
      <c r="C12" s="207"/>
      <c r="E12" s="207"/>
      <c r="F12" s="50"/>
      <c r="G12" s="207"/>
      <c r="H12" s="50"/>
      <c r="I12" s="207"/>
      <c r="J12" s="50"/>
      <c r="K12" s="207"/>
      <c r="L12" s="50"/>
      <c r="M12" s="207"/>
      <c r="N12" s="101"/>
    </row>
    <row r="13" spans="1:17" ht="30" customHeight="1" thickBot="1" x14ac:dyDescent="0.4">
      <c r="A13" s="99"/>
      <c r="B13" s="257" t="s">
        <v>15</v>
      </c>
      <c r="C13" s="258"/>
      <c r="D13" s="258"/>
      <c r="E13" s="259"/>
      <c r="F13" s="98"/>
      <c r="G13" s="257" t="s">
        <v>41</v>
      </c>
      <c r="H13" s="258"/>
      <c r="I13" s="258"/>
      <c r="J13" s="258"/>
      <c r="K13" s="258"/>
      <c r="L13" s="259"/>
      <c r="M13" s="99"/>
      <c r="N13" s="99"/>
    </row>
    <row r="14" spans="1:17" ht="25.15" customHeight="1" thickBot="1" x14ac:dyDescent="0.4">
      <c r="A14" s="98"/>
      <c r="B14" s="58">
        <v>1</v>
      </c>
      <c r="C14" s="39" t="s">
        <v>25</v>
      </c>
      <c r="D14" s="8"/>
      <c r="E14" s="157">
        <f>D11</f>
        <v>64155.766353500767</v>
      </c>
      <c r="F14" s="102"/>
      <c r="G14" s="53">
        <v>1</v>
      </c>
      <c r="H14" s="260" t="s">
        <v>39</v>
      </c>
      <c r="I14" s="260"/>
      <c r="J14" s="260"/>
      <c r="K14" s="59"/>
      <c r="L14" s="15">
        <f>Worksheet!P$379</f>
        <v>3210.1348600087981</v>
      </c>
      <c r="M14" s="98"/>
      <c r="N14" s="98"/>
    </row>
    <row r="15" spans="1:17" ht="25.15" customHeight="1" thickBot="1" x14ac:dyDescent="0.4">
      <c r="A15" s="98"/>
      <c r="B15" s="55"/>
      <c r="C15" s="60" t="s">
        <v>27</v>
      </c>
      <c r="D15" s="200"/>
      <c r="E15" s="158">
        <f>E14*D15</f>
        <v>0</v>
      </c>
      <c r="F15" s="97"/>
      <c r="G15" s="55">
        <v>2</v>
      </c>
      <c r="H15" s="265" t="s">
        <v>40</v>
      </c>
      <c r="I15" s="265"/>
      <c r="J15" s="265"/>
      <c r="K15" s="61"/>
      <c r="L15" s="21">
        <f>L14/8</f>
        <v>401.26685750109976</v>
      </c>
      <c r="M15" s="98"/>
      <c r="N15" s="98"/>
    </row>
    <row r="16" spans="1:17" ht="25.15" customHeight="1" x14ac:dyDescent="0.35">
      <c r="A16" s="101"/>
      <c r="B16" s="55"/>
      <c r="C16" s="62" t="s">
        <v>32</v>
      </c>
      <c r="D16" s="11"/>
      <c r="E16" s="201"/>
      <c r="F16" s="96"/>
      <c r="G16" s="55">
        <v>3</v>
      </c>
      <c r="H16" s="265" t="s">
        <v>35</v>
      </c>
      <c r="I16" s="265"/>
      <c r="J16" s="265"/>
      <c r="K16" s="61"/>
      <c r="L16" s="14">
        <f>J17+J18+J19</f>
        <v>5</v>
      </c>
      <c r="M16" s="101"/>
      <c r="N16" s="101"/>
    </row>
    <row r="17" spans="1:19" ht="25.15" customHeight="1" thickBot="1" x14ac:dyDescent="0.4">
      <c r="A17" s="99"/>
      <c r="B17" s="55">
        <v>2</v>
      </c>
      <c r="C17" s="40" t="s">
        <v>26</v>
      </c>
      <c r="D17" s="9"/>
      <c r="E17" s="159">
        <f>E11</f>
        <v>162476.08536027343</v>
      </c>
      <c r="F17" s="102"/>
      <c r="G17" s="55">
        <v>4</v>
      </c>
      <c r="H17" s="265" t="s">
        <v>46</v>
      </c>
      <c r="I17" s="265"/>
      <c r="J17" s="63">
        <v>3</v>
      </c>
      <c r="K17" s="64"/>
      <c r="L17" s="65"/>
      <c r="M17" s="99"/>
      <c r="N17" s="99"/>
      <c r="O17" s="52"/>
      <c r="P17" s="52"/>
      <c r="Q17" s="52"/>
    </row>
    <row r="18" spans="1:19" ht="25.15" customHeight="1" thickBot="1" x14ac:dyDescent="0.4">
      <c r="A18" s="98"/>
      <c r="B18" s="55"/>
      <c r="C18" s="60" t="s">
        <v>19</v>
      </c>
      <c r="D18" s="200"/>
      <c r="E18" s="158">
        <f>E17*D18</f>
        <v>0</v>
      </c>
      <c r="F18" s="102"/>
      <c r="G18" s="55">
        <v>5</v>
      </c>
      <c r="H18" s="265" t="s">
        <v>37</v>
      </c>
      <c r="I18" s="265"/>
      <c r="J18" s="63">
        <v>1</v>
      </c>
      <c r="K18" s="64"/>
      <c r="L18" s="65"/>
      <c r="M18" s="98"/>
      <c r="N18" s="98"/>
      <c r="O18" s="52"/>
      <c r="P18" s="52"/>
      <c r="Q18" s="52"/>
    </row>
    <row r="19" spans="1:19" ht="25.15" customHeight="1" thickBot="1" x14ac:dyDescent="0.4">
      <c r="A19" s="98"/>
      <c r="B19" s="55">
        <v>3</v>
      </c>
      <c r="C19" s="40" t="s">
        <v>20</v>
      </c>
      <c r="D19" s="9"/>
      <c r="E19" s="159">
        <f>SUM(E14:E18)</f>
        <v>226631.8517137742</v>
      </c>
      <c r="F19" s="97"/>
      <c r="G19" s="55">
        <v>6</v>
      </c>
      <c r="H19" s="265" t="s">
        <v>38</v>
      </c>
      <c r="I19" s="265"/>
      <c r="J19" s="63">
        <v>1</v>
      </c>
      <c r="K19" s="64"/>
      <c r="L19" s="65"/>
      <c r="M19" s="98"/>
      <c r="N19" s="98"/>
      <c r="O19" s="52"/>
      <c r="P19" s="52"/>
      <c r="Q19" s="52"/>
    </row>
    <row r="20" spans="1:19" ht="25.15" customHeight="1" thickBot="1" x14ac:dyDescent="0.4">
      <c r="A20" s="101"/>
      <c r="B20" s="55"/>
      <c r="C20" s="60" t="s">
        <v>28</v>
      </c>
      <c r="D20" s="17">
        <v>0.1</v>
      </c>
      <c r="E20" s="158">
        <f>E$19*D$20</f>
        <v>22663.185171377423</v>
      </c>
      <c r="F20" s="96"/>
      <c r="G20" s="55">
        <v>7</v>
      </c>
      <c r="H20" s="265" t="s">
        <v>14</v>
      </c>
      <c r="I20" s="265"/>
      <c r="J20" s="265"/>
      <c r="K20" s="61"/>
      <c r="L20" s="65">
        <f>(L17*J17/L16)+(L18*J18/L16)+(L19*J19/L16)</f>
        <v>0</v>
      </c>
      <c r="M20" s="101"/>
      <c r="N20" s="101"/>
      <c r="O20" s="52"/>
      <c r="P20" s="52"/>
      <c r="Q20" s="52"/>
    </row>
    <row r="21" spans="1:19" ht="25.15" customHeight="1" thickBot="1" x14ac:dyDescent="0.4">
      <c r="A21" s="99"/>
      <c r="B21" s="55"/>
      <c r="C21" s="60" t="s">
        <v>33</v>
      </c>
      <c r="D21" s="17">
        <v>0.1</v>
      </c>
      <c r="E21" s="158">
        <f>E$19*D$21</f>
        <v>22663.185171377423</v>
      </c>
      <c r="F21" s="102"/>
      <c r="G21" s="56">
        <v>8</v>
      </c>
      <c r="H21" s="264" t="s">
        <v>94</v>
      </c>
      <c r="I21" s="264"/>
      <c r="J21" s="264"/>
      <c r="K21" s="66"/>
      <c r="L21" s="203">
        <f>L20</f>
        <v>0</v>
      </c>
      <c r="M21" s="99"/>
      <c r="N21" s="99"/>
      <c r="O21" s="52"/>
      <c r="P21" s="52"/>
      <c r="Q21" s="52"/>
    </row>
    <row r="22" spans="1:19" ht="25.15" customHeight="1" thickBot="1" x14ac:dyDescent="0.4">
      <c r="A22" s="98"/>
      <c r="B22" s="55">
        <v>4</v>
      </c>
      <c r="C22" s="40" t="s">
        <v>88</v>
      </c>
      <c r="D22" s="10"/>
      <c r="E22" s="159">
        <f>SUM(E19:E21)</f>
        <v>271958.22205652908</v>
      </c>
      <c r="F22" s="101"/>
      <c r="G22" s="105"/>
      <c r="H22" s="92"/>
      <c r="I22" s="105"/>
      <c r="J22" s="92"/>
      <c r="K22" s="105"/>
      <c r="L22" s="92"/>
      <c r="M22" s="98"/>
      <c r="N22" s="98"/>
      <c r="P22" s="52"/>
      <c r="Q22" s="52"/>
    </row>
    <row r="23" spans="1:19" ht="25.15" customHeight="1" thickBot="1" x14ac:dyDescent="0.4">
      <c r="A23" s="98"/>
      <c r="B23" s="55"/>
      <c r="C23" s="60" t="s">
        <v>56</v>
      </c>
      <c r="D23" s="200"/>
      <c r="E23" s="158">
        <f>D23*E22</f>
        <v>0</v>
      </c>
      <c r="F23" s="99"/>
      <c r="G23" s="204"/>
      <c r="H23" s="254" t="s">
        <v>104</v>
      </c>
      <c r="I23" s="255"/>
      <c r="J23" s="255"/>
      <c r="K23" s="255"/>
      <c r="L23" s="256"/>
      <c r="M23" s="98"/>
      <c r="N23" s="98"/>
      <c r="P23" s="52"/>
      <c r="Q23" s="52"/>
    </row>
    <row r="24" spans="1:19" ht="25.15" customHeight="1" thickBot="1" x14ac:dyDescent="0.4">
      <c r="A24" s="101"/>
      <c r="B24" s="55"/>
      <c r="C24" s="62" t="s">
        <v>57</v>
      </c>
      <c r="D24" s="12"/>
      <c r="E24" s="202">
        <v>0</v>
      </c>
      <c r="F24" s="98"/>
      <c r="G24" s="197"/>
      <c r="H24" s="254" t="s">
        <v>99</v>
      </c>
      <c r="I24" s="255"/>
      <c r="J24" s="255"/>
      <c r="K24" s="255"/>
      <c r="L24" s="256"/>
      <c r="M24" s="101"/>
      <c r="N24" s="101"/>
      <c r="P24" s="52"/>
      <c r="Q24" s="52"/>
    </row>
    <row r="25" spans="1:19" ht="31" customHeight="1" thickBot="1" x14ac:dyDescent="0.4">
      <c r="A25" s="99"/>
      <c r="B25" s="55"/>
      <c r="C25" s="67" t="s">
        <v>58</v>
      </c>
      <c r="D25" s="12"/>
      <c r="E25" s="202">
        <v>0</v>
      </c>
      <c r="F25" s="98"/>
      <c r="G25" s="102"/>
      <c r="H25" s="102"/>
      <c r="J25" s="99"/>
      <c r="L25" s="98"/>
      <c r="M25" s="98"/>
      <c r="N25" s="98"/>
      <c r="Q25" s="52"/>
      <c r="R25" s="52"/>
      <c r="S25" s="52"/>
    </row>
    <row r="26" spans="1:19" ht="31" customHeight="1" thickBot="1" x14ac:dyDescent="0.4">
      <c r="A26" s="98"/>
      <c r="B26" s="55"/>
      <c r="C26" s="62" t="s">
        <v>59</v>
      </c>
      <c r="D26" s="12"/>
      <c r="E26" s="202">
        <v>0</v>
      </c>
      <c r="F26" s="101"/>
      <c r="G26" s="97"/>
      <c r="H26" s="102"/>
      <c r="I26" s="225" t="s">
        <v>100</v>
      </c>
      <c r="J26" s="226">
        <v>53340</v>
      </c>
      <c r="K26" s="227" t="s">
        <v>69</v>
      </c>
      <c r="L26" s="98"/>
      <c r="M26" s="98"/>
      <c r="N26" s="98"/>
      <c r="Q26" s="52"/>
      <c r="R26" s="52"/>
      <c r="S26" s="52"/>
    </row>
    <row r="27" spans="1:19" ht="25.15" customHeight="1" thickBot="1" x14ac:dyDescent="0.4">
      <c r="A27" s="98"/>
      <c r="B27" s="55"/>
      <c r="C27" s="62" t="s">
        <v>60</v>
      </c>
      <c r="D27" s="12"/>
      <c r="E27" s="202">
        <v>0</v>
      </c>
      <c r="F27" s="99"/>
      <c r="G27" s="96"/>
      <c r="H27" s="105"/>
      <c r="I27" s="225" t="s">
        <v>95</v>
      </c>
      <c r="J27" s="226">
        <v>1</v>
      </c>
      <c r="K27" s="227" t="s">
        <v>69</v>
      </c>
      <c r="L27" s="101"/>
      <c r="M27" s="98"/>
      <c r="N27" s="98"/>
      <c r="P27" s="52"/>
      <c r="Q27" s="52"/>
    </row>
    <row r="28" spans="1:19" ht="25.15" customHeight="1" x14ac:dyDescent="0.35">
      <c r="A28" s="101"/>
      <c r="B28" s="55"/>
      <c r="C28" s="62" t="s">
        <v>61</v>
      </c>
      <c r="D28" s="12"/>
      <c r="E28" s="202">
        <v>0</v>
      </c>
      <c r="F28" s="98"/>
      <c r="G28" s="98"/>
      <c r="H28" s="105"/>
      <c r="I28" s="92"/>
      <c r="J28" s="99"/>
      <c r="K28" s="98"/>
      <c r="L28" s="99"/>
      <c r="M28" s="101"/>
      <c r="N28" s="101"/>
      <c r="P28" s="52"/>
      <c r="Q28" s="52"/>
    </row>
    <row r="29" spans="1:19" ht="25.15" customHeight="1" x14ac:dyDescent="0.35">
      <c r="A29" s="99"/>
      <c r="B29" s="55"/>
      <c r="C29" s="62" t="s">
        <v>62</v>
      </c>
      <c r="D29" s="12"/>
      <c r="E29" s="202">
        <v>0</v>
      </c>
      <c r="F29" s="102"/>
      <c r="G29" s="98"/>
      <c r="H29" s="98"/>
      <c r="I29" s="95"/>
      <c r="J29" s="98"/>
      <c r="K29" s="99"/>
      <c r="L29" s="98"/>
      <c r="M29" s="98"/>
      <c r="N29" s="99"/>
      <c r="P29" s="52"/>
      <c r="Q29" s="52"/>
    </row>
    <row r="30" spans="1:19" ht="25.15" customHeight="1" x14ac:dyDescent="0.35">
      <c r="A30" s="98"/>
      <c r="B30" s="55"/>
      <c r="C30" s="62" t="s">
        <v>63</v>
      </c>
      <c r="D30" s="12"/>
      <c r="E30" s="202">
        <v>0</v>
      </c>
      <c r="F30" s="102"/>
      <c r="G30" s="101"/>
      <c r="H30" s="94"/>
      <c r="I30" s="105"/>
      <c r="J30" s="92"/>
      <c r="K30" s="98"/>
      <c r="L30" s="98"/>
      <c r="M30" s="98"/>
      <c r="N30" s="98"/>
      <c r="P30" s="52"/>
      <c r="Q30" s="52"/>
    </row>
    <row r="31" spans="1:19" ht="25.15" customHeight="1" x14ac:dyDescent="0.35">
      <c r="A31" s="98"/>
      <c r="B31" s="55"/>
      <c r="C31" s="62" t="s">
        <v>29</v>
      </c>
      <c r="D31" s="12"/>
      <c r="E31" s="202">
        <v>0</v>
      </c>
      <c r="F31" s="97"/>
      <c r="G31" s="99"/>
      <c r="H31" s="99"/>
      <c r="I31" s="103"/>
      <c r="J31" s="98"/>
      <c r="K31" s="98"/>
      <c r="L31" s="101"/>
      <c r="M31" s="98"/>
      <c r="N31" s="98"/>
      <c r="P31" s="52"/>
      <c r="Q31" s="52"/>
    </row>
    <row r="32" spans="1:19" ht="25.15" customHeight="1" x14ac:dyDescent="0.35">
      <c r="A32" s="101"/>
      <c r="B32" s="55"/>
      <c r="C32" s="62" t="s">
        <v>36</v>
      </c>
      <c r="D32" s="12"/>
      <c r="E32" s="202">
        <v>0</v>
      </c>
      <c r="F32" s="96"/>
      <c r="G32" s="98"/>
      <c r="H32" s="98"/>
      <c r="I32" s="104"/>
      <c r="J32" s="99"/>
      <c r="K32" s="98"/>
      <c r="L32" s="101"/>
      <c r="M32" s="98"/>
      <c r="N32" s="101"/>
      <c r="P32" s="52"/>
      <c r="Q32" s="52"/>
    </row>
    <row r="33" spans="1:17" ht="25.15" customHeight="1" x14ac:dyDescent="0.35">
      <c r="A33" s="99"/>
      <c r="B33" s="55"/>
      <c r="C33" s="62" t="s">
        <v>30</v>
      </c>
      <c r="D33" s="13"/>
      <c r="E33" s="202">
        <v>0</v>
      </c>
      <c r="F33" s="102"/>
      <c r="G33" s="98"/>
      <c r="H33" s="98"/>
      <c r="I33" s="99"/>
      <c r="J33" s="100"/>
      <c r="K33" s="98"/>
      <c r="L33" s="101"/>
      <c r="M33" s="98"/>
      <c r="N33" s="96"/>
      <c r="P33" s="52"/>
      <c r="Q33" s="52"/>
    </row>
    <row r="34" spans="1:17" ht="25.15" customHeight="1" x14ac:dyDescent="0.35">
      <c r="A34" s="98"/>
      <c r="B34" s="55"/>
      <c r="C34" s="205" t="s">
        <v>31</v>
      </c>
      <c r="D34" s="206"/>
      <c r="E34" s="229">
        <f>D34*E22</f>
        <v>0</v>
      </c>
      <c r="F34" s="102"/>
      <c r="G34" s="101"/>
      <c r="H34" s="101"/>
      <c r="I34" s="98"/>
      <c r="J34" s="100"/>
      <c r="K34" s="98"/>
      <c r="L34" s="101"/>
      <c r="M34" s="98"/>
      <c r="N34" s="102"/>
      <c r="O34" s="52"/>
      <c r="P34" s="52"/>
      <c r="Q34" s="52"/>
    </row>
    <row r="35" spans="1:17" ht="25.15" customHeight="1" thickBot="1" x14ac:dyDescent="0.4">
      <c r="A35" s="98"/>
      <c r="B35" s="56"/>
      <c r="C35" s="57"/>
      <c r="D35" s="106"/>
      <c r="E35" s="160"/>
      <c r="F35" s="97"/>
      <c r="G35" s="99"/>
      <c r="H35" s="99"/>
      <c r="I35" s="98"/>
      <c r="J35" s="93"/>
      <c r="K35" s="98"/>
      <c r="L35" s="101"/>
      <c r="M35" s="98"/>
      <c r="N35" s="102"/>
      <c r="O35" s="52"/>
      <c r="P35" s="52"/>
      <c r="Q35" s="52"/>
    </row>
    <row r="36" spans="1:17" ht="25.15" customHeight="1" thickBot="1" x14ac:dyDescent="0.4">
      <c r="A36" s="101"/>
      <c r="B36" s="68">
        <v>5</v>
      </c>
      <c r="C36" s="41" t="s">
        <v>34</v>
      </c>
      <c r="D36" s="16"/>
      <c r="E36" s="161">
        <f>SUM(E22:E35)</f>
        <v>271958.22205652908</v>
      </c>
      <c r="F36" s="99"/>
      <c r="G36" s="98"/>
      <c r="H36" s="98"/>
      <c r="I36" s="101"/>
      <c r="J36" s="94"/>
      <c r="K36" s="98"/>
      <c r="L36" s="101"/>
      <c r="M36" s="98"/>
      <c r="N36" s="97"/>
      <c r="O36" s="52"/>
      <c r="P36" s="52"/>
      <c r="Q36" s="52"/>
    </row>
    <row r="37" spans="1:17" x14ac:dyDescent="0.35">
      <c r="A37" s="99"/>
      <c r="B37" s="99"/>
      <c r="C37" s="99"/>
      <c r="D37" s="99"/>
      <c r="E37" s="99"/>
      <c r="F37" s="98"/>
      <c r="G37" s="98"/>
      <c r="H37" s="98"/>
      <c r="I37" s="99"/>
      <c r="J37" s="98"/>
      <c r="K37" s="98"/>
      <c r="L37" s="101"/>
      <c r="M37" s="98"/>
      <c r="N37" s="99"/>
    </row>
    <row r="38" spans="1:17" x14ac:dyDescent="0.35">
      <c r="A38" s="98"/>
      <c r="B38" s="98"/>
      <c r="C38" s="98"/>
      <c r="D38" s="98"/>
      <c r="E38" s="98"/>
      <c r="F38" s="98"/>
      <c r="G38" s="101"/>
      <c r="H38" s="101"/>
      <c r="I38" s="98"/>
      <c r="J38" s="98"/>
      <c r="K38" s="99"/>
      <c r="L38" s="98"/>
      <c r="M38" s="99"/>
      <c r="N38" s="98"/>
    </row>
  </sheetData>
  <mergeCells count="14">
    <mergeCell ref="A1:N1"/>
    <mergeCell ref="H24:L24"/>
    <mergeCell ref="B13:E13"/>
    <mergeCell ref="G13:L13"/>
    <mergeCell ref="H14:J14"/>
    <mergeCell ref="B3:M3"/>
    <mergeCell ref="H23:L23"/>
    <mergeCell ref="H21:J21"/>
    <mergeCell ref="H15:J15"/>
    <mergeCell ref="H16:J16"/>
    <mergeCell ref="H20:J20"/>
    <mergeCell ref="H17:I17"/>
    <mergeCell ref="H18:I18"/>
    <mergeCell ref="H19:I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landscape" r:id="rId1"/>
  <ignoredErrors>
    <ignoredError sqref="E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0021"/>
    <pageSetUpPr fitToPage="1"/>
  </sheetPr>
  <dimension ref="A1:R390"/>
  <sheetViews>
    <sheetView view="pageBreakPreview" zoomScale="23" zoomScaleNormal="70" zoomScaleSheetLayoutView="70" workbookViewId="0">
      <selection activeCell="Z19" sqref="Z19"/>
    </sheetView>
  </sheetViews>
  <sheetFormatPr defaultColWidth="8.81640625" defaultRowHeight="14.5" x14ac:dyDescent="0.35"/>
  <cols>
    <col min="1" max="1" width="6.26953125" style="50" customWidth="1"/>
    <col min="2" max="3" width="15.7265625" style="50" customWidth="1"/>
    <col min="4" max="4" width="13.7265625" style="76" customWidth="1"/>
    <col min="5" max="5" width="82.7265625" style="77" customWidth="1"/>
    <col min="6" max="6" width="15.7265625" style="78" customWidth="1"/>
    <col min="7" max="8" width="15.7265625" style="51" customWidth="1"/>
    <col min="9" max="9" width="15.7265625" style="78" customWidth="1"/>
    <col min="10" max="12" width="15.7265625" style="79" customWidth="1"/>
    <col min="13" max="14" width="15.7265625" style="37" customWidth="1"/>
    <col min="15" max="15" width="15.7265625" style="79" customWidth="1"/>
    <col min="16" max="16" width="15.7265625" style="38" customWidth="1"/>
    <col min="17" max="17" width="15.7265625" style="3" customWidth="1"/>
    <col min="18" max="18" width="15.7265625" style="50" customWidth="1"/>
    <col min="19" max="19" width="8.81640625" style="50"/>
    <col min="20" max="20" width="14.54296875" style="50" bestFit="1" customWidth="1"/>
    <col min="21" max="16384" width="8.81640625" style="50"/>
  </cols>
  <sheetData>
    <row r="1" spans="1:18" ht="45" customHeight="1" thickBot="1" x14ac:dyDescent="0.4">
      <c r="A1" s="274"/>
      <c r="B1" s="275"/>
      <c r="C1" s="275"/>
      <c r="D1" s="276"/>
      <c r="E1" s="308" t="s">
        <v>169</v>
      </c>
      <c r="F1" s="309"/>
      <c r="G1" s="309"/>
      <c r="H1" s="309"/>
      <c r="I1" s="309"/>
      <c r="J1" s="309"/>
      <c r="K1" s="309"/>
      <c r="L1" s="310"/>
      <c r="M1" s="298" t="s">
        <v>79</v>
      </c>
      <c r="N1" s="299"/>
      <c r="O1" s="300">
        <f>SUM(R$381+R$382)+('Bid Recap &amp; Summary'!E$15+'Bid Recap &amp; Summary'!E$16+'Bid Recap &amp; Summary'!E$18)</f>
        <v>226631.85171377426</v>
      </c>
      <c r="P1" s="301"/>
      <c r="Q1" s="301"/>
      <c r="R1" s="302"/>
    </row>
    <row r="2" spans="1:18" ht="45" customHeight="1" thickBot="1" x14ac:dyDescent="0.4">
      <c r="A2" s="277"/>
      <c r="B2" s="278"/>
      <c r="C2" s="278"/>
      <c r="D2" s="279"/>
      <c r="E2" s="286" t="s">
        <v>170</v>
      </c>
      <c r="F2" s="287"/>
      <c r="G2" s="287"/>
      <c r="H2" s="287"/>
      <c r="I2" s="287"/>
      <c r="J2" s="287"/>
      <c r="K2" s="287"/>
      <c r="L2" s="287"/>
      <c r="M2" s="298" t="s">
        <v>74</v>
      </c>
      <c r="N2" s="299"/>
      <c r="O2" s="300">
        <f>O$1*'Bid Recap &amp; Summary'!D$20</f>
        <v>22663.185171377427</v>
      </c>
      <c r="P2" s="301"/>
      <c r="Q2" s="301"/>
      <c r="R2" s="302"/>
    </row>
    <row r="3" spans="1:18" ht="45" customHeight="1" thickBot="1" x14ac:dyDescent="0.4">
      <c r="A3" s="277"/>
      <c r="B3" s="278"/>
      <c r="C3" s="278"/>
      <c r="D3" s="279"/>
      <c r="E3" s="80" t="s">
        <v>76</v>
      </c>
      <c r="F3" s="287" t="s">
        <v>171</v>
      </c>
      <c r="G3" s="287"/>
      <c r="H3" s="287"/>
      <c r="I3" s="287"/>
      <c r="J3" s="287"/>
      <c r="K3" s="287"/>
      <c r="L3" s="288"/>
      <c r="M3" s="298" t="s">
        <v>75</v>
      </c>
      <c r="N3" s="299"/>
      <c r="O3" s="300">
        <f>O$1*'Bid Recap &amp; Summary'!D$21</f>
        <v>22663.185171377427</v>
      </c>
      <c r="P3" s="301"/>
      <c r="Q3" s="301"/>
      <c r="R3" s="302"/>
    </row>
    <row r="4" spans="1:18" ht="45" customHeight="1" thickBot="1" x14ac:dyDescent="0.4">
      <c r="A4" s="277"/>
      <c r="B4" s="278"/>
      <c r="C4" s="278"/>
      <c r="D4" s="279"/>
      <c r="E4" s="80" t="s">
        <v>77</v>
      </c>
      <c r="F4" s="287" t="s">
        <v>78</v>
      </c>
      <c r="G4" s="287"/>
      <c r="H4" s="287"/>
      <c r="I4" s="287"/>
      <c r="J4" s="287"/>
      <c r="K4" s="287"/>
      <c r="L4" s="288"/>
      <c r="M4" s="311" t="s">
        <v>72</v>
      </c>
      <c r="N4" s="312"/>
      <c r="O4" s="300">
        <f>SUM('Bid Recap &amp; Summary'!E$23:E$35)</f>
        <v>0</v>
      </c>
      <c r="P4" s="301"/>
      <c r="Q4" s="301"/>
      <c r="R4" s="302"/>
    </row>
    <row r="5" spans="1:18" ht="40" customHeight="1" thickBot="1" x14ac:dyDescent="0.4">
      <c r="A5" s="280"/>
      <c r="B5" s="281"/>
      <c r="C5" s="281"/>
      <c r="D5" s="282"/>
      <c r="E5" s="140" t="s">
        <v>53</v>
      </c>
      <c r="F5" s="313">
        <v>46083</v>
      </c>
      <c r="G5" s="313"/>
      <c r="H5" s="313"/>
      <c r="I5" s="313"/>
      <c r="J5" s="313"/>
      <c r="K5" s="313"/>
      <c r="L5" s="314"/>
      <c r="M5" s="270" t="s">
        <v>85</v>
      </c>
      <c r="N5" s="271"/>
      <c r="O5" s="303">
        <f>SUM(O$1:Q$4)</f>
        <v>271958.22205652914</v>
      </c>
      <c r="P5" s="304"/>
      <c r="Q5" s="304"/>
      <c r="R5" s="305"/>
    </row>
    <row r="6" spans="1:18" s="232" customFormat="1" ht="30" customHeight="1" thickBot="1" x14ac:dyDescent="0.4">
      <c r="A6" s="286"/>
      <c r="B6" s="287"/>
      <c r="C6" s="287"/>
      <c r="D6" s="287"/>
      <c r="E6" s="287"/>
      <c r="F6" s="288"/>
      <c r="G6" s="230"/>
      <c r="H6" s="289" t="s">
        <v>106</v>
      </c>
      <c r="I6" s="290"/>
      <c r="J6" s="290"/>
      <c r="K6" s="291"/>
      <c r="L6" s="292" t="s">
        <v>107</v>
      </c>
      <c r="M6" s="293"/>
      <c r="N6" s="293"/>
      <c r="O6" s="293"/>
      <c r="P6" s="293"/>
      <c r="Q6" s="294"/>
      <c r="R6" s="231"/>
    </row>
    <row r="7" spans="1:18" ht="49.9" customHeight="1" thickBot="1" x14ac:dyDescent="0.4">
      <c r="A7" s="28" t="s">
        <v>0</v>
      </c>
      <c r="B7" s="28" t="s">
        <v>10</v>
      </c>
      <c r="C7" s="29" t="s">
        <v>11</v>
      </c>
      <c r="D7" s="30" t="s">
        <v>43</v>
      </c>
      <c r="E7" s="28" t="s">
        <v>1</v>
      </c>
      <c r="F7" s="31" t="s">
        <v>2</v>
      </c>
      <c r="G7" s="28" t="s">
        <v>3</v>
      </c>
      <c r="H7" s="28" t="s">
        <v>66</v>
      </c>
      <c r="I7" s="31" t="s">
        <v>64</v>
      </c>
      <c r="J7" s="32" t="s">
        <v>9</v>
      </c>
      <c r="K7" s="32" t="s">
        <v>4</v>
      </c>
      <c r="L7" s="32" t="s">
        <v>65</v>
      </c>
      <c r="M7" s="151" t="s">
        <v>6</v>
      </c>
      <c r="N7" s="151" t="s">
        <v>7</v>
      </c>
      <c r="O7" s="32" t="s">
        <v>5</v>
      </c>
      <c r="P7" s="152" t="s">
        <v>96</v>
      </c>
      <c r="Q7" s="152" t="s">
        <v>8</v>
      </c>
      <c r="R7" s="152"/>
    </row>
    <row r="8" spans="1:18" ht="30" customHeight="1" thickBot="1" x14ac:dyDescent="0.4">
      <c r="A8" s="181"/>
      <c r="B8" s="182"/>
      <c r="C8" s="183"/>
      <c r="D8" s="183"/>
      <c r="E8" s="184" t="s">
        <v>93</v>
      </c>
      <c r="F8" s="185"/>
      <c r="G8" s="185"/>
      <c r="H8" s="182"/>
      <c r="I8" s="185"/>
      <c r="J8" s="182"/>
      <c r="K8" s="182"/>
      <c r="L8" s="182"/>
      <c r="M8" s="182"/>
      <c r="N8" s="182"/>
      <c r="O8" s="182"/>
      <c r="P8" s="182"/>
      <c r="Q8" s="182"/>
      <c r="R8" s="186"/>
    </row>
    <row r="9" spans="1:18" ht="25" customHeight="1" thickBot="1" x14ac:dyDescent="0.4">
      <c r="A9" s="171"/>
      <c r="B9" s="172"/>
      <c r="C9" s="173" t="s">
        <v>55</v>
      </c>
      <c r="D9" s="179" t="s">
        <v>67</v>
      </c>
      <c r="E9" s="179" t="s">
        <v>68</v>
      </c>
      <c r="F9" s="180"/>
      <c r="G9" s="174"/>
      <c r="H9" s="172"/>
      <c r="I9" s="174"/>
      <c r="J9" s="172"/>
      <c r="K9" s="172"/>
      <c r="L9" s="188">
        <f>'Bid Recap &amp; Summary'!L$21</f>
        <v>0</v>
      </c>
      <c r="M9" s="172"/>
      <c r="N9" s="172"/>
      <c r="O9" s="172"/>
      <c r="P9" s="172"/>
      <c r="Q9" s="172"/>
      <c r="R9" s="175"/>
    </row>
    <row r="10" spans="1:18" ht="14.5" customHeight="1" x14ac:dyDescent="0.35">
      <c r="A10" s="108" t="str">
        <f>IF(TRIM(G10)&lt;&gt;"",COUNTA(G8:$G$10)&amp;"","")</f>
        <v/>
      </c>
      <c r="B10" s="109"/>
      <c r="C10" s="109"/>
      <c r="D10" s="110"/>
      <c r="E10" s="111"/>
      <c r="F10" s="112"/>
      <c r="G10" s="113"/>
      <c r="H10" s="114" t="str">
        <f>IF(F10=0,"",0)</f>
        <v/>
      </c>
      <c r="I10" s="115" t="str">
        <f t="shared" ref="I10" si="0">IF(F10=0,"",F10+(F10*H10))</f>
        <v/>
      </c>
      <c r="J10" s="116" t="str">
        <f>IF(F10=0,"",0)</f>
        <v/>
      </c>
      <c r="K10" s="25" t="str">
        <f>IF(F10=0,"",J10*I10)</f>
        <v/>
      </c>
      <c r="L10" s="25" t="str">
        <f>IF(F10=0,"",L$9)</f>
        <v/>
      </c>
      <c r="M10" s="117" t="str">
        <f>IF(F10=0,"",0)</f>
        <v/>
      </c>
      <c r="N10" s="117" t="str">
        <f>IF(F10=0,"",M10*I10)</f>
        <v/>
      </c>
      <c r="O10" s="25" t="str">
        <f>IF(F10=0,"",N10*L10)</f>
        <v/>
      </c>
      <c r="P10" s="118" t="str">
        <f>IF(F10=0,"",(K10+O10)/I10)</f>
        <v/>
      </c>
      <c r="Q10" s="25" t="str">
        <f>IF(F10=0,"",(P10*I10))</f>
        <v/>
      </c>
      <c r="R10" s="120"/>
    </row>
    <row r="11" spans="1:18" x14ac:dyDescent="0.35">
      <c r="A11" s="69" t="str">
        <f>IF(TRIM(G11)&lt;&gt;"",COUNTA(G11:$G$11)&amp;"","")</f>
        <v>1</v>
      </c>
      <c r="B11" s="70"/>
      <c r="C11" s="70"/>
      <c r="D11" s="34"/>
      <c r="E11" s="67" t="s">
        <v>84</v>
      </c>
      <c r="F11" s="71">
        <v>1</v>
      </c>
      <c r="G11" s="72" t="s">
        <v>69</v>
      </c>
      <c r="H11" s="22">
        <f t="shared" ref="H11:H12" si="1">IF(F11=0,"",0)</f>
        <v>0</v>
      </c>
      <c r="I11" s="49">
        <f t="shared" ref="I11:I15" si="2">IF(F11=0,"",F11+(F11*H11))</f>
        <v>1</v>
      </c>
      <c r="J11" s="23">
        <f t="shared" ref="J11:J15" si="3">IF(F11=0,"",0)</f>
        <v>0</v>
      </c>
      <c r="K11" s="24">
        <f t="shared" ref="K11:K15" si="4">IF(F11=0,"",J11*I11)</f>
        <v>0</v>
      </c>
      <c r="L11" s="25">
        <f t="shared" ref="L11:L15" si="5">IF(F11=0,"",L$9)</f>
        <v>0</v>
      </c>
      <c r="M11" s="26">
        <f t="shared" ref="M11:M15" si="6">IF(F11=0,"",0)</f>
        <v>0</v>
      </c>
      <c r="N11" s="26">
        <f t="shared" ref="N11:N15" si="7">IF(F11=0,"",M11*I11)</f>
        <v>0</v>
      </c>
      <c r="O11" s="24">
        <f t="shared" ref="O11:O15" si="8">IF(F11=0,"",N11*L11)</f>
        <v>0</v>
      </c>
      <c r="P11" s="27">
        <f t="shared" ref="P11:P15" si="9">IF(F11=0,"",(K11+O11)/I11)</f>
        <v>0</v>
      </c>
      <c r="Q11" s="24">
        <f t="shared" ref="Q11:Q15" si="10">IF(F11=0,"",(P11*I11))</f>
        <v>0</v>
      </c>
      <c r="R11" s="121"/>
    </row>
    <row r="12" spans="1:18" x14ac:dyDescent="0.35">
      <c r="A12" s="69" t="str">
        <f>IF(TRIM(G12)&lt;&gt;"",COUNTA(G$11:$G12)&amp;"","")</f>
        <v>2</v>
      </c>
      <c r="B12" s="70"/>
      <c r="C12" s="70"/>
      <c r="D12" s="34"/>
      <c r="E12" s="67" t="s">
        <v>105</v>
      </c>
      <c r="F12" s="71">
        <v>1</v>
      </c>
      <c r="G12" s="72" t="s">
        <v>103</v>
      </c>
      <c r="H12" s="22">
        <f t="shared" si="1"/>
        <v>0</v>
      </c>
      <c r="I12" s="49">
        <f t="shared" si="2"/>
        <v>1</v>
      </c>
      <c r="J12" s="23">
        <f t="shared" si="3"/>
        <v>0</v>
      </c>
      <c r="K12" s="24">
        <f t="shared" si="4"/>
        <v>0</v>
      </c>
      <c r="L12" s="25">
        <f t="shared" si="5"/>
        <v>0</v>
      </c>
      <c r="M12" s="26">
        <f t="shared" si="6"/>
        <v>0</v>
      </c>
      <c r="N12" s="26">
        <f t="shared" si="7"/>
        <v>0</v>
      </c>
      <c r="O12" s="24">
        <f t="shared" si="8"/>
        <v>0</v>
      </c>
      <c r="P12" s="27">
        <f t="shared" si="9"/>
        <v>0</v>
      </c>
      <c r="Q12" s="24">
        <f t="shared" si="10"/>
        <v>0</v>
      </c>
      <c r="R12" s="121"/>
    </row>
    <row r="13" spans="1:18" x14ac:dyDescent="0.35">
      <c r="A13" s="69" t="str">
        <f>IF(TRIM(G13)&lt;&gt;"",COUNTA(G$11:$G13)&amp;"","")</f>
        <v>3</v>
      </c>
      <c r="B13" s="70"/>
      <c r="C13" s="70"/>
      <c r="D13" s="34"/>
      <c r="E13" s="67" t="s">
        <v>91</v>
      </c>
      <c r="F13" s="71">
        <v>1</v>
      </c>
      <c r="G13" s="72" t="s">
        <v>69</v>
      </c>
      <c r="H13" s="22">
        <f t="shared" ref="H13:H15" si="11">IF(F13=0,"",0)</f>
        <v>0</v>
      </c>
      <c r="I13" s="49">
        <f t="shared" si="2"/>
        <v>1</v>
      </c>
      <c r="J13" s="23">
        <f t="shared" si="3"/>
        <v>0</v>
      </c>
      <c r="K13" s="24">
        <f t="shared" si="4"/>
        <v>0</v>
      </c>
      <c r="L13" s="25">
        <f t="shared" si="5"/>
        <v>0</v>
      </c>
      <c r="M13" s="26">
        <f t="shared" si="6"/>
        <v>0</v>
      </c>
      <c r="N13" s="26">
        <f t="shared" si="7"/>
        <v>0</v>
      </c>
      <c r="O13" s="24">
        <f t="shared" si="8"/>
        <v>0</v>
      </c>
      <c r="P13" s="27">
        <f t="shared" si="9"/>
        <v>0</v>
      </c>
      <c r="Q13" s="24">
        <f t="shared" si="10"/>
        <v>0</v>
      </c>
      <c r="R13" s="121"/>
    </row>
    <row r="14" spans="1:18" x14ac:dyDescent="0.35">
      <c r="A14" s="69" t="str">
        <f>IF(TRIM(G14)&lt;&gt;"",COUNTA(G$11:$G14)&amp;"","")</f>
        <v>4</v>
      </c>
      <c r="B14" s="70"/>
      <c r="C14" s="70"/>
      <c r="D14" s="34"/>
      <c r="E14" s="54" t="s">
        <v>101</v>
      </c>
      <c r="F14" s="71">
        <f>'Bid Recap &amp; Summary'!J26</f>
        <v>53340</v>
      </c>
      <c r="G14" s="72" t="s">
        <v>69</v>
      </c>
      <c r="H14" s="22">
        <f t="shared" si="11"/>
        <v>0</v>
      </c>
      <c r="I14" s="49">
        <f t="shared" si="2"/>
        <v>53340</v>
      </c>
      <c r="J14" s="23">
        <f t="shared" si="3"/>
        <v>0</v>
      </c>
      <c r="K14" s="24">
        <f t="shared" si="4"/>
        <v>0</v>
      </c>
      <c r="L14" s="25">
        <f t="shared" si="5"/>
        <v>0</v>
      </c>
      <c r="M14" s="26">
        <f t="shared" si="6"/>
        <v>0</v>
      </c>
      <c r="N14" s="26">
        <f t="shared" si="7"/>
        <v>0</v>
      </c>
      <c r="O14" s="24">
        <f t="shared" si="8"/>
        <v>0</v>
      </c>
      <c r="P14" s="27">
        <f t="shared" si="9"/>
        <v>0</v>
      </c>
      <c r="Q14" s="24">
        <f t="shared" si="10"/>
        <v>0</v>
      </c>
      <c r="R14" s="121"/>
    </row>
    <row r="15" spans="1:18" ht="15" thickBot="1" x14ac:dyDescent="0.4">
      <c r="A15" s="69" t="str">
        <f>IF(TRIM(G15)&lt;&gt;"",COUNTA(G$11:$G15)&amp;"","")</f>
        <v/>
      </c>
      <c r="B15" s="73"/>
      <c r="C15" s="73"/>
      <c r="D15" s="34"/>
      <c r="E15" s="74"/>
      <c r="F15" s="71"/>
      <c r="G15" s="72"/>
      <c r="H15" s="22" t="str">
        <f t="shared" si="11"/>
        <v/>
      </c>
      <c r="I15" s="49" t="str">
        <f t="shared" si="2"/>
        <v/>
      </c>
      <c r="J15" s="23" t="str">
        <f t="shared" si="3"/>
        <v/>
      </c>
      <c r="K15" s="24" t="str">
        <f t="shared" si="4"/>
        <v/>
      </c>
      <c r="L15" s="25" t="str">
        <f t="shared" si="5"/>
        <v/>
      </c>
      <c r="M15" s="26" t="str">
        <f t="shared" si="6"/>
        <v/>
      </c>
      <c r="N15" s="26" t="str">
        <f t="shared" si="7"/>
        <v/>
      </c>
      <c r="O15" s="24" t="str">
        <f t="shared" si="8"/>
        <v/>
      </c>
      <c r="P15" s="27" t="str">
        <f t="shared" si="9"/>
        <v/>
      </c>
      <c r="Q15" s="107" t="str">
        <f t="shared" si="10"/>
        <v/>
      </c>
      <c r="R15" s="122"/>
    </row>
    <row r="16" spans="1:18" s="2" customFormat="1" ht="16" thickBot="1" x14ac:dyDescent="0.4">
      <c r="A16" s="69" t="str">
        <f>IF(TRIM(G16)&lt;&gt;"",COUNTA(G$11:$G16)&amp;"","")</f>
        <v/>
      </c>
      <c r="B16" s="1"/>
      <c r="C16" s="1"/>
      <c r="D16" s="20"/>
      <c r="E16" s="19"/>
      <c r="F16" s="47"/>
      <c r="G16" s="48"/>
      <c r="H16" s="81" t="s">
        <v>12</v>
      </c>
      <c r="I16" s="82"/>
      <c r="J16" s="42">
        <f>SUM(K$10:K$15)</f>
        <v>0</v>
      </c>
      <c r="K16" s="268" t="s">
        <v>13</v>
      </c>
      <c r="L16" s="269"/>
      <c r="M16" s="43">
        <f>SUM(O$10:O$15)</f>
        <v>0</v>
      </c>
      <c r="N16" s="268" t="s">
        <v>42</v>
      </c>
      <c r="O16" s="269"/>
      <c r="P16" s="44">
        <f>SUM(N$10:N$15)</f>
        <v>0</v>
      </c>
      <c r="Q16" s="119" t="s">
        <v>97</v>
      </c>
      <c r="R16" s="43">
        <f>SUM(Q10:Q15)</f>
        <v>0</v>
      </c>
    </row>
    <row r="17" spans="1:18" ht="30" customHeight="1" thickBot="1" x14ac:dyDescent="0.4">
      <c r="A17" s="181" t="str">
        <f>IF(TRIM(G17)&lt;&gt;"",COUNTA(G$11:$G17)&amp;"","")</f>
        <v/>
      </c>
      <c r="B17" s="182"/>
      <c r="C17" s="183"/>
      <c r="D17" s="183"/>
      <c r="E17" s="184" t="s">
        <v>92</v>
      </c>
      <c r="F17" s="185"/>
      <c r="G17" s="185"/>
      <c r="H17" s="182"/>
      <c r="I17" s="185"/>
      <c r="J17" s="182"/>
      <c r="K17" s="182"/>
      <c r="L17" s="182"/>
      <c r="M17" s="182"/>
      <c r="N17" s="182"/>
      <c r="O17" s="182"/>
      <c r="P17" s="182"/>
      <c r="Q17" s="182"/>
      <c r="R17" s="186"/>
    </row>
    <row r="18" spans="1:18" ht="25" customHeight="1" thickBot="1" x14ac:dyDescent="0.4">
      <c r="A18" s="171" t="str">
        <f>IF(TRIM(G18)&lt;&gt;"",COUNTA(G$11:$G18)&amp;"","")</f>
        <v/>
      </c>
      <c r="B18" s="172"/>
      <c r="C18" s="173" t="s">
        <v>55</v>
      </c>
      <c r="D18" s="179" t="s">
        <v>47</v>
      </c>
      <c r="E18" s="179" t="s">
        <v>70</v>
      </c>
      <c r="F18" s="180"/>
      <c r="G18" s="174"/>
      <c r="H18" s="172"/>
      <c r="I18" s="174"/>
      <c r="J18" s="172"/>
      <c r="K18" s="172"/>
      <c r="L18" s="188">
        <v>44</v>
      </c>
      <c r="M18" s="172"/>
      <c r="N18" s="172"/>
      <c r="O18" s="172"/>
      <c r="P18" s="172"/>
      <c r="Q18" s="172"/>
      <c r="R18" s="175"/>
    </row>
    <row r="19" spans="1:18" s="18" customFormat="1" ht="19.149999999999999" customHeight="1" x14ac:dyDescent="0.35">
      <c r="A19" s="69" t="str">
        <f>IF(TRIM(G19)&lt;&gt;"",COUNTA(G$11:$G19)&amp;"","")</f>
        <v/>
      </c>
      <c r="B19" s="33"/>
      <c r="C19" s="33"/>
      <c r="D19" s="191" t="s">
        <v>49</v>
      </c>
      <c r="E19" s="189" t="s">
        <v>48</v>
      </c>
      <c r="F19" s="71"/>
      <c r="G19" s="72"/>
      <c r="H19" s="22" t="str">
        <f t="shared" ref="H19" si="12">IF(F19=0,"",0)</f>
        <v/>
      </c>
      <c r="I19" s="49" t="str">
        <f t="shared" ref="I19" si="13">IF(F19=0,"",F19+(F19*H19))</f>
        <v/>
      </c>
      <c r="J19" s="23" t="str">
        <f t="shared" ref="J19" si="14">IF(F19=0,"",0)</f>
        <v/>
      </c>
      <c r="K19" s="24" t="str">
        <f t="shared" ref="K19" si="15">IF(F19=0,"",J19*I19)</f>
        <v/>
      </c>
      <c r="L19" s="25" t="str">
        <f t="shared" ref="L19" si="16">IF(F19=0,"",L$18)</f>
        <v/>
      </c>
      <c r="M19" s="26" t="str">
        <f t="shared" ref="M19" si="17">IF(F19=0,"",0)</f>
        <v/>
      </c>
      <c r="N19" s="26" t="str">
        <f t="shared" ref="N19" si="18">IF(F19=0,"",M19*I19)</f>
        <v/>
      </c>
      <c r="O19" s="24" t="str">
        <f t="shared" ref="O19" si="19">IF(F19=0,"",N19*L19)</f>
        <v/>
      </c>
      <c r="P19" s="27" t="str">
        <f t="shared" ref="P19" si="20">IF(F19=0,"",(K19+O19)/I19)</f>
        <v/>
      </c>
      <c r="Q19" s="24" t="str">
        <f t="shared" ref="Q19" si="21">IF(F19=0,"",(P19*I19))</f>
        <v/>
      </c>
      <c r="R19" s="123"/>
    </row>
    <row r="20" spans="1:18" x14ac:dyDescent="0.35">
      <c r="A20" s="69" t="str">
        <f>IF(TRIM(G20)&lt;&gt;"",COUNTA(G$11:$G20)&amp;"","")</f>
        <v>5</v>
      </c>
      <c r="B20" s="283" t="s">
        <v>120</v>
      </c>
      <c r="C20" s="283" t="s">
        <v>120</v>
      </c>
      <c r="D20" s="34"/>
      <c r="E20" s="54" t="s">
        <v>109</v>
      </c>
      <c r="F20" s="71">
        <v>38.9</v>
      </c>
      <c r="G20" s="72" t="s">
        <v>83</v>
      </c>
      <c r="H20" s="22">
        <f>IF(F20=0,"",0)</f>
        <v>0</v>
      </c>
      <c r="I20" s="49">
        <f>IF(F20=0,"",F20+(F20*H20))</f>
        <v>38.9</v>
      </c>
      <c r="J20" s="240">
        <f>IF(F20=0,"",0)</f>
        <v>0</v>
      </c>
      <c r="K20" s="241">
        <f>IF(F20=0,"",J20*I20)</f>
        <v>0</v>
      </c>
      <c r="L20" s="242">
        <f>IF(F20=0,"",L$18)</f>
        <v>44</v>
      </c>
      <c r="M20" s="26">
        <v>3.2000000000000001E-2</v>
      </c>
      <c r="N20" s="26">
        <f>IF(F20=0,"",M20*I20)</f>
        <v>1.2447999999999999</v>
      </c>
      <c r="O20" s="241">
        <f>IF(F20=0,"",N20*L20)</f>
        <v>54.771199999999993</v>
      </c>
      <c r="P20" s="243">
        <f>IF(F20=0,"",(K20+O20)/I20)</f>
        <v>1.4079999999999999</v>
      </c>
      <c r="Q20" s="241">
        <f>IF(F20=0,"",(P20*I20))</f>
        <v>54.771199999999993</v>
      </c>
      <c r="R20" s="121"/>
    </row>
    <row r="21" spans="1:18" x14ac:dyDescent="0.35">
      <c r="A21" s="69" t="str">
        <f>IF(TRIM(G21)&lt;&gt;"",COUNTA(G$11:$G21)&amp;"","")</f>
        <v>6</v>
      </c>
      <c r="B21" s="284"/>
      <c r="C21" s="284"/>
      <c r="D21" s="34"/>
      <c r="E21" s="54" t="s">
        <v>161</v>
      </c>
      <c r="F21" s="71">
        <f>19*75.63</f>
        <v>1436.9699999999998</v>
      </c>
      <c r="G21" s="72" t="s">
        <v>69</v>
      </c>
      <c r="H21" s="22">
        <f t="shared" ref="H21:H31" si="22">IF(F21=0,"",0)</f>
        <v>0</v>
      </c>
      <c r="I21" s="49">
        <f t="shared" ref="I21:I31" si="23">IF(F21=0,"",F21+(F21*H21))</f>
        <v>1436.9699999999998</v>
      </c>
      <c r="J21" s="240">
        <f t="shared" ref="J21:J31" si="24">IF(F21=0,"",0)</f>
        <v>0</v>
      </c>
      <c r="K21" s="241">
        <f t="shared" ref="K21:K31" si="25">IF(F21=0,"",J21*I21)</f>
        <v>0</v>
      </c>
      <c r="L21" s="242">
        <f t="shared" ref="L21:L31" si="26">IF(F21=0,"",L$18)</f>
        <v>44</v>
      </c>
      <c r="M21" s="26">
        <v>0.03</v>
      </c>
      <c r="N21" s="26">
        <f t="shared" ref="N21:N31" si="27">IF(F21=0,"",M21*I21)</f>
        <v>43.109099999999991</v>
      </c>
      <c r="O21" s="241">
        <f t="shared" ref="O21:O31" si="28">IF(F21=0,"",N21*L21)</f>
        <v>1896.8003999999996</v>
      </c>
      <c r="P21" s="243">
        <f t="shared" ref="P21:P31" si="29">IF(F21=0,"",(K21+O21)/I21)</f>
        <v>1.3199999999999998</v>
      </c>
      <c r="Q21" s="241">
        <f t="shared" ref="Q21:Q31" si="30">IF(F21=0,"",(P21*I21))</f>
        <v>1896.8003999999994</v>
      </c>
      <c r="R21" s="121"/>
    </row>
    <row r="22" spans="1:18" x14ac:dyDescent="0.35">
      <c r="A22" s="69" t="str">
        <f>IF(TRIM(G22)&lt;&gt;"",COUNTA(G$11:$G22)&amp;"","")</f>
        <v>7</v>
      </c>
      <c r="B22" s="284"/>
      <c r="C22" s="284"/>
      <c r="D22" s="34"/>
      <c r="E22" s="54" t="s">
        <v>110</v>
      </c>
      <c r="F22" s="71">
        <f>14.5*967.1</f>
        <v>14022.95</v>
      </c>
      <c r="G22" s="72" t="s">
        <v>69</v>
      </c>
      <c r="H22" s="22">
        <f t="shared" si="22"/>
        <v>0</v>
      </c>
      <c r="I22" s="49">
        <f t="shared" si="23"/>
        <v>14022.95</v>
      </c>
      <c r="J22" s="240">
        <f t="shared" si="24"/>
        <v>0</v>
      </c>
      <c r="K22" s="241">
        <f t="shared" si="25"/>
        <v>0</v>
      </c>
      <c r="L22" s="242">
        <f t="shared" si="26"/>
        <v>44</v>
      </c>
      <c r="M22" s="26">
        <v>2.9000000000000001E-2</v>
      </c>
      <c r="N22" s="26">
        <f t="shared" si="27"/>
        <v>406.66555000000005</v>
      </c>
      <c r="O22" s="241">
        <f t="shared" si="28"/>
        <v>17893.284200000002</v>
      </c>
      <c r="P22" s="243">
        <f t="shared" si="29"/>
        <v>1.276</v>
      </c>
      <c r="Q22" s="241">
        <f t="shared" si="30"/>
        <v>17893.284200000002</v>
      </c>
      <c r="R22" s="121"/>
    </row>
    <row r="23" spans="1:18" x14ac:dyDescent="0.35">
      <c r="A23" s="69" t="str">
        <f>IF(TRIM(G23)&lt;&gt;"",COUNTA(G$11:$G23)&amp;"","")</f>
        <v>8</v>
      </c>
      <c r="B23" s="284"/>
      <c r="C23" s="284"/>
      <c r="D23" s="34"/>
      <c r="E23" s="54" t="s">
        <v>113</v>
      </c>
      <c r="F23" s="71">
        <f>8*248</f>
        <v>1984</v>
      </c>
      <c r="G23" s="72" t="s">
        <v>69</v>
      </c>
      <c r="H23" s="22">
        <f t="shared" si="22"/>
        <v>0</v>
      </c>
      <c r="I23" s="49">
        <f t="shared" si="23"/>
        <v>1984</v>
      </c>
      <c r="J23" s="240">
        <f t="shared" si="24"/>
        <v>0</v>
      </c>
      <c r="K23" s="241">
        <f t="shared" si="25"/>
        <v>0</v>
      </c>
      <c r="L23" s="242">
        <f t="shared" si="26"/>
        <v>44</v>
      </c>
      <c r="M23" s="26">
        <v>3.2000000000000001E-2</v>
      </c>
      <c r="N23" s="26">
        <f t="shared" si="27"/>
        <v>63.488</v>
      </c>
      <c r="O23" s="241">
        <f t="shared" si="28"/>
        <v>2793.4719999999998</v>
      </c>
      <c r="P23" s="243">
        <f t="shared" si="29"/>
        <v>1.4079999999999999</v>
      </c>
      <c r="Q23" s="241">
        <f t="shared" si="30"/>
        <v>2793.4719999999998</v>
      </c>
      <c r="R23" s="121"/>
    </row>
    <row r="24" spans="1:18" x14ac:dyDescent="0.35">
      <c r="A24" s="69" t="str">
        <f>IF(TRIM(G24)&lt;&gt;"",COUNTA(G$11:$G24)&amp;"","")</f>
        <v>9</v>
      </c>
      <c r="B24" s="284"/>
      <c r="C24" s="284"/>
      <c r="D24" s="34"/>
      <c r="E24" s="54" t="s">
        <v>114</v>
      </c>
      <c r="F24" s="71">
        <f>18*283.62</f>
        <v>5105.16</v>
      </c>
      <c r="G24" s="72" t="s">
        <v>69</v>
      </c>
      <c r="H24" s="22">
        <f t="shared" si="22"/>
        <v>0</v>
      </c>
      <c r="I24" s="49">
        <f t="shared" si="23"/>
        <v>5105.16</v>
      </c>
      <c r="J24" s="240">
        <f t="shared" si="24"/>
        <v>0</v>
      </c>
      <c r="K24" s="241">
        <f t="shared" si="25"/>
        <v>0</v>
      </c>
      <c r="L24" s="242">
        <f t="shared" si="26"/>
        <v>44</v>
      </c>
      <c r="M24" s="26">
        <v>0.03</v>
      </c>
      <c r="N24" s="26">
        <f t="shared" si="27"/>
        <v>153.15479999999999</v>
      </c>
      <c r="O24" s="241">
        <f t="shared" si="28"/>
        <v>6738.8112000000001</v>
      </c>
      <c r="P24" s="243">
        <f t="shared" si="29"/>
        <v>1.32</v>
      </c>
      <c r="Q24" s="241">
        <f t="shared" si="30"/>
        <v>6738.8112000000001</v>
      </c>
      <c r="R24" s="121"/>
    </row>
    <row r="25" spans="1:18" x14ac:dyDescent="0.35">
      <c r="A25" s="69" t="str">
        <f>IF(TRIM(G25)&lt;&gt;"",COUNTA(G$11:$G25)&amp;"","")</f>
        <v>10</v>
      </c>
      <c r="B25" s="284"/>
      <c r="C25" s="284"/>
      <c r="D25" s="34"/>
      <c r="E25" s="54" t="s">
        <v>115</v>
      </c>
      <c r="F25" s="71">
        <f>16*51.32</f>
        <v>821.12</v>
      </c>
      <c r="G25" s="72" t="s">
        <v>69</v>
      </c>
      <c r="H25" s="22">
        <f t="shared" si="22"/>
        <v>0</v>
      </c>
      <c r="I25" s="49">
        <f t="shared" si="23"/>
        <v>821.12</v>
      </c>
      <c r="J25" s="240">
        <f t="shared" si="24"/>
        <v>0</v>
      </c>
      <c r="K25" s="241">
        <f t="shared" si="25"/>
        <v>0</v>
      </c>
      <c r="L25" s="242">
        <f t="shared" si="26"/>
        <v>44</v>
      </c>
      <c r="M25" s="26">
        <v>0.03</v>
      </c>
      <c r="N25" s="26">
        <f t="shared" si="27"/>
        <v>24.633599999999998</v>
      </c>
      <c r="O25" s="241">
        <f t="shared" si="28"/>
        <v>1083.8783999999998</v>
      </c>
      <c r="P25" s="243">
        <f t="shared" si="29"/>
        <v>1.3199999999999998</v>
      </c>
      <c r="Q25" s="241">
        <f t="shared" si="30"/>
        <v>1083.8783999999998</v>
      </c>
      <c r="R25" s="121"/>
    </row>
    <row r="26" spans="1:18" x14ac:dyDescent="0.35">
      <c r="A26" s="69" t="str">
        <f>IF(TRIM(G26)&lt;&gt;"",COUNTA(G$11:$G26)&amp;"","")</f>
        <v>11</v>
      </c>
      <c r="B26" s="284"/>
      <c r="C26" s="284"/>
      <c r="D26" s="34"/>
      <c r="E26" s="54" t="s">
        <v>116</v>
      </c>
      <c r="F26" s="71">
        <f>24*136.67</f>
        <v>3280.08</v>
      </c>
      <c r="G26" s="72" t="s">
        <v>69</v>
      </c>
      <c r="H26" s="22">
        <f t="shared" si="22"/>
        <v>0</v>
      </c>
      <c r="I26" s="49">
        <f t="shared" si="23"/>
        <v>3280.08</v>
      </c>
      <c r="J26" s="240">
        <f t="shared" si="24"/>
        <v>0</v>
      </c>
      <c r="K26" s="241">
        <f t="shared" si="25"/>
        <v>0</v>
      </c>
      <c r="L26" s="242">
        <f t="shared" si="26"/>
        <v>44</v>
      </c>
      <c r="M26" s="26">
        <v>0.03</v>
      </c>
      <c r="N26" s="26">
        <f t="shared" si="27"/>
        <v>98.4024</v>
      </c>
      <c r="O26" s="241">
        <f t="shared" si="28"/>
        <v>4329.7056000000002</v>
      </c>
      <c r="P26" s="243">
        <f t="shared" si="29"/>
        <v>1.32</v>
      </c>
      <c r="Q26" s="241">
        <f t="shared" si="30"/>
        <v>4329.7056000000002</v>
      </c>
      <c r="R26" s="121"/>
    </row>
    <row r="27" spans="1:18" x14ac:dyDescent="0.35">
      <c r="A27" s="69" t="str">
        <f>IF(TRIM(G27)&lt;&gt;"",COUNTA(G$11:$G27)&amp;"","")</f>
        <v>12</v>
      </c>
      <c r="B27" s="284"/>
      <c r="C27" s="284"/>
      <c r="D27" s="34"/>
      <c r="E27" s="54" t="s">
        <v>111</v>
      </c>
      <c r="F27" s="71">
        <f>14.5*124.13</f>
        <v>1799.885</v>
      </c>
      <c r="G27" s="72" t="s">
        <v>69</v>
      </c>
      <c r="H27" s="22">
        <f>IF(F27=0,"",0)</f>
        <v>0</v>
      </c>
      <c r="I27" s="49">
        <f>IF(F27=0,"",F27+(F27*H27))</f>
        <v>1799.885</v>
      </c>
      <c r="J27" s="240">
        <f>IF(F27=0,"",0)</f>
        <v>0</v>
      </c>
      <c r="K27" s="241">
        <f>IF(F27=0,"",J27*I27)</f>
        <v>0</v>
      </c>
      <c r="L27" s="242">
        <f>IF(F27=0,"",L$18)</f>
        <v>44</v>
      </c>
      <c r="M27" s="26">
        <v>3.2000000000000001E-2</v>
      </c>
      <c r="N27" s="26">
        <f>IF(F27=0,"",M27*I27)</f>
        <v>57.596319999999999</v>
      </c>
      <c r="O27" s="241">
        <f>IF(F27=0,"",N27*L27)</f>
        <v>2534.2380800000001</v>
      </c>
      <c r="P27" s="243">
        <f>IF(F27=0,"",(K27+O27)/I27)</f>
        <v>1.4080000000000001</v>
      </c>
      <c r="Q27" s="241">
        <f>IF(F27=0,"",(P27*I27))</f>
        <v>2534.2380800000001</v>
      </c>
      <c r="R27" s="121"/>
    </row>
    <row r="28" spans="1:18" x14ac:dyDescent="0.35">
      <c r="A28" s="69" t="str">
        <f>IF(TRIM(G28)&lt;&gt;"",COUNTA(G$11:$G28)&amp;"","")</f>
        <v>13</v>
      </c>
      <c r="B28" s="284"/>
      <c r="C28" s="284"/>
      <c r="D28" s="34"/>
      <c r="E28" s="54" t="s">
        <v>112</v>
      </c>
      <c r="F28" s="71">
        <f>14.5*37.83</f>
        <v>548.53499999999997</v>
      </c>
      <c r="G28" s="72" t="s">
        <v>69</v>
      </c>
      <c r="H28" s="22">
        <f>IF(F28=0,"",0)</f>
        <v>0</v>
      </c>
      <c r="I28" s="49">
        <f>IF(F28=0,"",F28+(F28*H28))</f>
        <v>548.53499999999997</v>
      </c>
      <c r="J28" s="240">
        <f>IF(F28=0,"",0)</f>
        <v>0</v>
      </c>
      <c r="K28" s="241">
        <f>IF(F28=0,"",J28*I28)</f>
        <v>0</v>
      </c>
      <c r="L28" s="242">
        <f>IF(F28=0,"",L$18)</f>
        <v>44</v>
      </c>
      <c r="M28" s="26">
        <v>3.2000000000000001E-2</v>
      </c>
      <c r="N28" s="26">
        <f>IF(F28=0,"",M28*I28)</f>
        <v>17.55312</v>
      </c>
      <c r="O28" s="241">
        <f>IF(F28=0,"",N28*L28)</f>
        <v>772.33727999999996</v>
      </c>
      <c r="P28" s="243">
        <f>IF(F28=0,"",(K28+O28)/I28)</f>
        <v>1.4079999999999999</v>
      </c>
      <c r="Q28" s="241">
        <f>IF(F28=0,"",(P28*I28))</f>
        <v>772.33727999999996</v>
      </c>
      <c r="R28" s="121"/>
    </row>
    <row r="29" spans="1:18" x14ac:dyDescent="0.35">
      <c r="A29" s="69" t="str">
        <f>IF(TRIM(G29)&lt;&gt;"",COUNTA(G$11:$G29)&amp;"","")</f>
        <v>14</v>
      </c>
      <c r="B29" s="284"/>
      <c r="C29" s="284"/>
      <c r="D29" s="34"/>
      <c r="E29" s="54" t="s">
        <v>118</v>
      </c>
      <c r="F29" s="71">
        <f>24*31.8</f>
        <v>763.2</v>
      </c>
      <c r="G29" s="72" t="s">
        <v>69</v>
      </c>
      <c r="H29" s="22">
        <f>IF(F29=0,"",0)</f>
        <v>0</v>
      </c>
      <c r="I29" s="49">
        <f>IF(F29=0,"",F29+(F29*H29))</f>
        <v>763.2</v>
      </c>
      <c r="J29" s="240">
        <f>IF(F29=0,"",0)</f>
        <v>0</v>
      </c>
      <c r="K29" s="241">
        <f>IF(F29=0,"",J29*I29)</f>
        <v>0</v>
      </c>
      <c r="L29" s="242">
        <f>IF(F29=0,"",L$18)</f>
        <v>44</v>
      </c>
      <c r="M29" s="26">
        <v>3.2000000000000001E-2</v>
      </c>
      <c r="N29" s="26">
        <f>IF(F29=0,"",M29*I29)</f>
        <v>24.422400000000003</v>
      </c>
      <c r="O29" s="241">
        <f>IF(F29=0,"",N29*L29)</f>
        <v>1074.5856000000001</v>
      </c>
      <c r="P29" s="243">
        <f>IF(F29=0,"",(K29+O29)/I29)</f>
        <v>1.4080000000000001</v>
      </c>
      <c r="Q29" s="241">
        <f>IF(F29=0,"",(P29*I29))</f>
        <v>1074.5856000000001</v>
      </c>
      <c r="R29" s="121"/>
    </row>
    <row r="30" spans="1:18" x14ac:dyDescent="0.35">
      <c r="A30" s="69" t="str">
        <f>IF(TRIM(G30)&lt;&gt;"",COUNTA(G$11:$G30)&amp;"","")</f>
        <v>15</v>
      </c>
      <c r="B30" s="284"/>
      <c r="C30" s="284"/>
      <c r="D30" s="34"/>
      <c r="E30" s="54" t="s">
        <v>117</v>
      </c>
      <c r="F30" s="71">
        <f>16*230.23</f>
        <v>3683.68</v>
      </c>
      <c r="G30" s="72" t="s">
        <v>69</v>
      </c>
      <c r="H30" s="22">
        <f t="shared" si="22"/>
        <v>0</v>
      </c>
      <c r="I30" s="49">
        <f t="shared" si="23"/>
        <v>3683.68</v>
      </c>
      <c r="J30" s="240">
        <f t="shared" si="24"/>
        <v>0</v>
      </c>
      <c r="K30" s="241">
        <f t="shared" si="25"/>
        <v>0</v>
      </c>
      <c r="L30" s="242">
        <f t="shared" si="26"/>
        <v>44</v>
      </c>
      <c r="M30" s="26">
        <v>3.2000000000000001E-2</v>
      </c>
      <c r="N30" s="26">
        <f t="shared" si="27"/>
        <v>117.87775999999999</v>
      </c>
      <c r="O30" s="241">
        <f t="shared" si="28"/>
        <v>5186.6214399999999</v>
      </c>
      <c r="P30" s="243">
        <f t="shared" si="29"/>
        <v>1.4080000000000001</v>
      </c>
      <c r="Q30" s="241">
        <f t="shared" si="30"/>
        <v>5186.6214399999999</v>
      </c>
      <c r="R30" s="121"/>
    </row>
    <row r="31" spans="1:18" x14ac:dyDescent="0.35">
      <c r="A31" s="69" t="str">
        <f>IF(TRIM(G31)&lt;&gt;"",COUNTA(G$11:$G31)&amp;"","")</f>
        <v>16</v>
      </c>
      <c r="B31" s="285"/>
      <c r="C31" s="285"/>
      <c r="D31" s="34"/>
      <c r="E31" s="54" t="s">
        <v>119</v>
      </c>
      <c r="F31" s="71">
        <v>1381.28</v>
      </c>
      <c r="G31" s="72" t="s">
        <v>69</v>
      </c>
      <c r="H31" s="22">
        <f t="shared" si="22"/>
        <v>0</v>
      </c>
      <c r="I31" s="49">
        <f t="shared" si="23"/>
        <v>1381.28</v>
      </c>
      <c r="J31" s="240">
        <f t="shared" si="24"/>
        <v>0</v>
      </c>
      <c r="K31" s="241">
        <f t="shared" si="25"/>
        <v>0</v>
      </c>
      <c r="L31" s="242">
        <f t="shared" si="26"/>
        <v>44</v>
      </c>
      <c r="M31" s="26">
        <v>2.9000000000000001E-2</v>
      </c>
      <c r="N31" s="26">
        <f t="shared" si="27"/>
        <v>40.057120000000005</v>
      </c>
      <c r="O31" s="241">
        <f t="shared" si="28"/>
        <v>1762.5132800000001</v>
      </c>
      <c r="P31" s="243">
        <f t="shared" si="29"/>
        <v>1.276</v>
      </c>
      <c r="Q31" s="241">
        <f t="shared" si="30"/>
        <v>1762.5132799999999</v>
      </c>
      <c r="R31" s="121"/>
    </row>
    <row r="32" spans="1:18" ht="15" thickBot="1" x14ac:dyDescent="0.4">
      <c r="A32" s="69" t="str">
        <f>IF(TRIM(G32)&lt;&gt;"",COUNTA(G$11:$G32)&amp;"","")</f>
        <v/>
      </c>
      <c r="B32" s="73"/>
      <c r="C32" s="73"/>
      <c r="D32" s="34"/>
      <c r="E32" s="74"/>
      <c r="F32" s="71"/>
      <c r="G32" s="72"/>
      <c r="H32" s="22" t="str">
        <f t="shared" ref="H32" si="31">IF(F32=0,"",0)</f>
        <v/>
      </c>
      <c r="I32" s="49" t="str">
        <f t="shared" ref="I32" si="32">IF(F32=0,"",F32+(F32*H32))</f>
        <v/>
      </c>
      <c r="J32" s="23" t="str">
        <f t="shared" ref="J32" si="33">IF(F32=0,"",0)</f>
        <v/>
      </c>
      <c r="K32" s="24" t="str">
        <f t="shared" ref="K32" si="34">IF(F32=0,"",J32*I32)</f>
        <v/>
      </c>
      <c r="L32" s="25" t="str">
        <f t="shared" ref="L32" si="35">IF(F32=0,"",L$18)</f>
        <v/>
      </c>
      <c r="M32" s="26" t="str">
        <f t="shared" ref="M32" si="36">IF(F32=0,"",0)</f>
        <v/>
      </c>
      <c r="N32" s="26" t="str">
        <f t="shared" ref="N32" si="37">IF(F32=0,"",M32*I32)</f>
        <v/>
      </c>
      <c r="O32" s="24" t="str">
        <f t="shared" ref="O32" si="38">IF(F32=0,"",N32*L32)</f>
        <v/>
      </c>
      <c r="P32" s="27" t="str">
        <f t="shared" ref="P32" si="39">IF(F32=0,"",(K32+O32)/I32)</f>
        <v/>
      </c>
      <c r="Q32" s="24" t="str">
        <f t="shared" ref="Q32" si="40">IF(F32=0,"",(P32*I32))</f>
        <v/>
      </c>
      <c r="R32" s="121"/>
    </row>
    <row r="33" spans="1:18" s="2" customFormat="1" ht="16" thickBot="1" x14ac:dyDescent="0.4">
      <c r="A33" s="84" t="str">
        <f>IF(TRIM(G33)&lt;&gt;"",COUNTA(G$11:$G33)&amp;"","")</f>
        <v/>
      </c>
      <c r="B33" s="1"/>
      <c r="C33" s="1"/>
      <c r="D33" s="20"/>
      <c r="E33" s="19"/>
      <c r="F33" s="169"/>
      <c r="G33" s="176"/>
      <c r="H33" s="85" t="s">
        <v>12</v>
      </c>
      <c r="I33" s="86"/>
      <c r="J33" s="87">
        <f>SUM(K$19:K$32)</f>
        <v>0</v>
      </c>
      <c r="K33" s="272" t="s">
        <v>13</v>
      </c>
      <c r="L33" s="273"/>
      <c r="M33" s="88">
        <f>SUM(O$19:O$32)</f>
        <v>46121.018680000001</v>
      </c>
      <c r="N33" s="272" t="s">
        <v>42</v>
      </c>
      <c r="O33" s="273"/>
      <c r="P33" s="89">
        <f>SUM(N$19:N$32)</f>
        <v>1048.2049700000002</v>
      </c>
      <c r="Q33" s="177" t="s">
        <v>97</v>
      </c>
      <c r="R33" s="88">
        <f>SUM(Q$19:Q$32)</f>
        <v>46121.018680000001</v>
      </c>
    </row>
    <row r="34" spans="1:18" ht="25" customHeight="1" thickBot="1" x14ac:dyDescent="0.4">
      <c r="A34" s="171" t="str">
        <f>IF(TRIM(G34)&lt;&gt;"",COUNTA(G$11:$G34)&amp;"","")</f>
        <v/>
      </c>
      <c r="B34" s="172"/>
      <c r="C34" s="173" t="s">
        <v>55</v>
      </c>
      <c r="D34" s="179" t="s">
        <v>44</v>
      </c>
      <c r="E34" s="179" t="s">
        <v>45</v>
      </c>
      <c r="F34" s="180"/>
      <c r="G34" s="174"/>
      <c r="H34" s="172"/>
      <c r="I34" s="174"/>
      <c r="J34" s="172"/>
      <c r="K34" s="172"/>
      <c r="L34" s="188">
        <v>53.82</v>
      </c>
      <c r="M34" s="172"/>
      <c r="N34" s="172"/>
      <c r="O34" s="172"/>
      <c r="P34" s="172"/>
      <c r="Q34" s="172"/>
      <c r="R34" s="175"/>
    </row>
    <row r="35" spans="1:18" s="18" customFormat="1" ht="19.149999999999999" customHeight="1" x14ac:dyDescent="0.35">
      <c r="A35" s="108" t="str">
        <f>IF(TRIM(G35)&lt;&gt;"",COUNTA(G$11:$G35)&amp;"","")</f>
        <v/>
      </c>
      <c r="B35" s="170"/>
      <c r="C35" s="170"/>
      <c r="D35" s="187" t="s">
        <v>51</v>
      </c>
      <c r="E35" s="190" t="s">
        <v>50</v>
      </c>
      <c r="F35" s="236">
        <v>9</v>
      </c>
      <c r="G35" s="113"/>
      <c r="H35" s="114"/>
      <c r="I35" s="115"/>
      <c r="J35" s="116"/>
      <c r="K35" s="25"/>
      <c r="L35" s="25"/>
      <c r="M35" s="117"/>
      <c r="N35" s="117"/>
      <c r="O35" s="25"/>
      <c r="P35" s="118"/>
      <c r="Q35" s="25"/>
      <c r="R35" s="178"/>
    </row>
    <row r="36" spans="1:18" x14ac:dyDescent="0.35">
      <c r="A36" s="69" t="str">
        <f>IF(TRIM(G36)&lt;&gt;"",COUNTA(G$11:$G36)&amp;"","")</f>
        <v/>
      </c>
      <c r="B36" s="70"/>
      <c r="C36" s="70"/>
      <c r="D36" s="34"/>
      <c r="E36" s="237" t="s">
        <v>121</v>
      </c>
      <c r="F36" s="71"/>
      <c r="G36" s="63"/>
      <c r="H36" s="22"/>
      <c r="I36" s="49"/>
      <c r="J36" s="23"/>
      <c r="K36" s="24"/>
      <c r="L36" s="25"/>
      <c r="M36" s="26"/>
      <c r="N36" s="26"/>
      <c r="O36" s="24"/>
      <c r="P36" s="27"/>
      <c r="Q36" s="24"/>
      <c r="R36" s="121"/>
    </row>
    <row r="37" spans="1:18" x14ac:dyDescent="0.35">
      <c r="A37" s="69"/>
      <c r="B37" s="73"/>
      <c r="C37" s="73"/>
      <c r="D37" s="34"/>
      <c r="E37" s="250" t="s">
        <v>202</v>
      </c>
      <c r="F37" s="71"/>
      <c r="G37" s="63"/>
      <c r="H37" s="22"/>
      <c r="I37" s="49"/>
      <c r="J37" s="23"/>
      <c r="K37" s="24"/>
      <c r="L37" s="25"/>
      <c r="M37" s="26"/>
      <c r="N37" s="26"/>
      <c r="O37" s="24"/>
      <c r="P37" s="27"/>
      <c r="Q37" s="24"/>
      <c r="R37" s="121"/>
    </row>
    <row r="38" spans="1:18" ht="19.5" customHeight="1" x14ac:dyDescent="0.35">
      <c r="A38" s="69" t="str">
        <f>IF(TRIM(G38)&lt;&gt;"",COUNTA(G$11:$G38)&amp;"","")</f>
        <v>17</v>
      </c>
      <c r="B38" s="283" t="s">
        <v>200</v>
      </c>
      <c r="C38" s="283" t="s">
        <v>201</v>
      </c>
      <c r="D38" s="34"/>
      <c r="E38" s="237" t="s">
        <v>135</v>
      </c>
      <c r="F38" s="234">
        <v>92.71</v>
      </c>
      <c r="G38" s="238" t="s">
        <v>83</v>
      </c>
      <c r="H38" s="22"/>
      <c r="I38" s="49"/>
      <c r="J38" s="23"/>
      <c r="K38" s="24"/>
      <c r="L38" s="25"/>
      <c r="M38" s="26"/>
      <c r="N38" s="26"/>
      <c r="O38" s="24"/>
      <c r="P38" s="27"/>
      <c r="Q38" s="24"/>
      <c r="R38" s="121"/>
    </row>
    <row r="39" spans="1:18" x14ac:dyDescent="0.35">
      <c r="A39" s="69" t="str">
        <f>IF(TRIM(G39)&lt;&gt;"",COUNTA(G$11:$G39)&amp;"","")</f>
        <v>18</v>
      </c>
      <c r="B39" s="284"/>
      <c r="C39" s="284"/>
      <c r="D39" s="34"/>
      <c r="E39" s="67" t="s">
        <v>129</v>
      </c>
      <c r="F39" s="71">
        <f>F38/1.33+1</f>
        <v>70.706766917293223</v>
      </c>
      <c r="G39" s="63" t="s">
        <v>102</v>
      </c>
      <c r="H39" s="22">
        <v>0</v>
      </c>
      <c r="I39" s="49">
        <f t="shared" ref="I39:I40" si="41">IF(F39=0,"",F39+(F39*H39))</f>
        <v>70.706766917293223</v>
      </c>
      <c r="J39" s="240">
        <f>1.26*18</f>
        <v>22.68</v>
      </c>
      <c r="K39" s="241">
        <f t="shared" ref="K39:K40" si="42">IF(F39=0,"",J39*I39)</f>
        <v>1603.6294736842103</v>
      </c>
      <c r="L39" s="242">
        <f t="shared" ref="L39:L40" si="43">IF(F39=0,"",L$34)</f>
        <v>53.82</v>
      </c>
      <c r="M39" s="26">
        <f>0.052*18</f>
        <v>0.93599999999999994</v>
      </c>
      <c r="N39" s="26">
        <f t="shared" ref="N39:N40" si="44">IF(F39=0,"",M39*I39)</f>
        <v>66.181533834586446</v>
      </c>
      <c r="O39" s="241">
        <f t="shared" ref="O39:O40" si="45">IF(F39=0,"",N39*L39)</f>
        <v>3561.8901509774428</v>
      </c>
      <c r="P39" s="243">
        <f t="shared" ref="P39:P40" si="46">IF(F39=0,"",(K39+O39)/I39)</f>
        <v>73.055520000000001</v>
      </c>
      <c r="Q39" s="241">
        <f t="shared" ref="Q39:Q40" si="47">IF(F39=0,"",(P39*I39))</f>
        <v>5165.5196246616533</v>
      </c>
      <c r="R39" s="121"/>
    </row>
    <row r="40" spans="1:18" x14ac:dyDescent="0.35">
      <c r="A40" s="69" t="str">
        <f>IF(TRIM(G40)&lt;&gt;"",COUNTA(G$11:$G40)&amp;"","")</f>
        <v>19</v>
      </c>
      <c r="B40" s="284"/>
      <c r="C40" s="284"/>
      <c r="D40" s="34"/>
      <c r="E40" s="228" t="s">
        <v>123</v>
      </c>
      <c r="F40" s="71">
        <f>F38</f>
        <v>92.71</v>
      </c>
      <c r="G40" s="63" t="s">
        <v>83</v>
      </c>
      <c r="H40" s="22">
        <v>0.1</v>
      </c>
      <c r="I40" s="49">
        <f t="shared" si="41"/>
        <v>101.98099999999999</v>
      </c>
      <c r="J40" s="240">
        <v>1.26</v>
      </c>
      <c r="K40" s="241">
        <f t="shared" si="42"/>
        <v>128.49606</v>
      </c>
      <c r="L40" s="242">
        <f t="shared" si="43"/>
        <v>53.82</v>
      </c>
      <c r="M40" s="26">
        <v>5.1999999999999998E-2</v>
      </c>
      <c r="N40" s="26">
        <f t="shared" si="44"/>
        <v>5.3030119999999998</v>
      </c>
      <c r="O40" s="241">
        <f t="shared" si="45"/>
        <v>285.40810584000002</v>
      </c>
      <c r="P40" s="243">
        <f t="shared" si="46"/>
        <v>4.0586400000000005</v>
      </c>
      <c r="Q40" s="241">
        <f t="shared" si="47"/>
        <v>413.90416584000002</v>
      </c>
      <c r="R40" s="121"/>
    </row>
    <row r="41" spans="1:18" x14ac:dyDescent="0.35">
      <c r="A41" s="69" t="str">
        <f>IF(TRIM(G41)&lt;&gt;"",COUNTA(G$11:$G41)&amp;"","")</f>
        <v>20</v>
      </c>
      <c r="B41" s="284"/>
      <c r="C41" s="284"/>
      <c r="D41" s="34"/>
      <c r="E41" s="228" t="s">
        <v>124</v>
      </c>
      <c r="F41" s="71">
        <f>F38</f>
        <v>92.71</v>
      </c>
      <c r="G41" s="63" t="s">
        <v>83</v>
      </c>
      <c r="H41" s="22">
        <v>0.1</v>
      </c>
      <c r="I41" s="49">
        <f t="shared" ref="I41:I43" si="48">IF(F41=0,"",F41+(F41*H41))</f>
        <v>101.98099999999999</v>
      </c>
      <c r="J41" s="240">
        <v>1.26</v>
      </c>
      <c r="K41" s="241">
        <f t="shared" ref="K41:K43" si="49">IF(F41=0,"",J41*I41)</f>
        <v>128.49606</v>
      </c>
      <c r="L41" s="242">
        <f t="shared" ref="L41:L43" si="50">IF(F41=0,"",L$34)</f>
        <v>53.82</v>
      </c>
      <c r="M41" s="26">
        <v>5.1999999999999998E-2</v>
      </c>
      <c r="N41" s="26">
        <f t="shared" ref="N41:N43" si="51">IF(F41=0,"",M41*I41)</f>
        <v>5.3030119999999998</v>
      </c>
      <c r="O41" s="241">
        <f t="shared" ref="O41:O43" si="52">IF(F41=0,"",N41*L41)</f>
        <v>285.40810584000002</v>
      </c>
      <c r="P41" s="243">
        <f t="shared" ref="P41:P43" si="53">IF(F41=0,"",(K41+O41)/I41)</f>
        <v>4.0586400000000005</v>
      </c>
      <c r="Q41" s="241">
        <f t="shared" ref="Q41:Q43" si="54">IF(F41=0,"",(P41*I41))</f>
        <v>413.90416584000002</v>
      </c>
      <c r="R41" s="121"/>
    </row>
    <row r="42" spans="1:18" x14ac:dyDescent="0.35">
      <c r="A42" s="69" t="str">
        <f>IF(TRIM(G42)&lt;&gt;"",COUNTA(G$11:$G42)&amp;"","")</f>
        <v>21</v>
      </c>
      <c r="B42" s="284"/>
      <c r="C42" s="284"/>
      <c r="D42" s="34"/>
      <c r="E42" s="228" t="s">
        <v>130</v>
      </c>
      <c r="F42" s="71">
        <f>(1.56*18)</f>
        <v>28.080000000000002</v>
      </c>
      <c r="G42" s="63" t="s">
        <v>69</v>
      </c>
      <c r="H42" s="22">
        <v>0.1</v>
      </c>
      <c r="I42" s="49">
        <f t="shared" si="48"/>
        <v>30.888000000000002</v>
      </c>
      <c r="J42" s="240">
        <f>24.3/32</f>
        <v>0.75937500000000002</v>
      </c>
      <c r="K42" s="241">
        <f t="shared" si="49"/>
        <v>23.455575000000003</v>
      </c>
      <c r="L42" s="242">
        <f t="shared" si="50"/>
        <v>53.82</v>
      </c>
      <c r="M42" s="26">
        <v>1.6E-2</v>
      </c>
      <c r="N42" s="26">
        <f t="shared" si="51"/>
        <v>0.49420800000000004</v>
      </c>
      <c r="O42" s="241">
        <f t="shared" si="52"/>
        <v>26.598274560000004</v>
      </c>
      <c r="P42" s="243">
        <f t="shared" si="53"/>
        <v>1.620495</v>
      </c>
      <c r="Q42" s="241">
        <f t="shared" si="54"/>
        <v>50.053849560000003</v>
      </c>
      <c r="R42" s="121"/>
    </row>
    <row r="43" spans="1:18" x14ac:dyDescent="0.35">
      <c r="A43" s="69" t="str">
        <f>IF(TRIM(G43)&lt;&gt;"",COUNTA(G$11:$G43)&amp;"","")</f>
        <v>22</v>
      </c>
      <c r="B43" s="284"/>
      <c r="C43" s="284"/>
      <c r="D43" s="34"/>
      <c r="E43" s="228" t="s">
        <v>125</v>
      </c>
      <c r="F43" s="71">
        <f>F38*15</f>
        <v>1390.6499999999999</v>
      </c>
      <c r="G43" s="63" t="s">
        <v>69</v>
      </c>
      <c r="H43" s="22">
        <v>0.1</v>
      </c>
      <c r="I43" s="49">
        <f t="shared" si="48"/>
        <v>1529.7149999999999</v>
      </c>
      <c r="J43" s="240">
        <v>0.62</v>
      </c>
      <c r="K43" s="241">
        <f t="shared" si="49"/>
        <v>948.42329999999993</v>
      </c>
      <c r="L43" s="242">
        <f t="shared" si="50"/>
        <v>53.82</v>
      </c>
      <c r="M43" s="26">
        <v>1.6E-2</v>
      </c>
      <c r="N43" s="26">
        <f t="shared" si="51"/>
        <v>24.475439999999999</v>
      </c>
      <c r="O43" s="241">
        <f t="shared" si="52"/>
        <v>1317.2681808</v>
      </c>
      <c r="P43" s="243">
        <f t="shared" si="53"/>
        <v>1.4811200000000002</v>
      </c>
      <c r="Q43" s="241">
        <f t="shared" si="54"/>
        <v>2265.6914808000001</v>
      </c>
      <c r="R43" s="121"/>
    </row>
    <row r="44" spans="1:18" x14ac:dyDescent="0.35">
      <c r="A44" s="69" t="str">
        <f>IF(TRIM(G44)&lt;&gt;"",COUNTA(G$11:$G44)&amp;"","")</f>
        <v>23</v>
      </c>
      <c r="B44" s="284"/>
      <c r="C44" s="284"/>
      <c r="D44" s="34"/>
      <c r="E44" s="67" t="s">
        <v>126</v>
      </c>
      <c r="F44" s="71">
        <f>F38*13.5</f>
        <v>1251.5849999999998</v>
      </c>
      <c r="G44" s="63" t="s">
        <v>69</v>
      </c>
      <c r="H44" s="22">
        <v>0.1</v>
      </c>
      <c r="I44" s="49">
        <f t="shared" ref="I44:I50" si="55">IF(F44=0,"",F44+(F44*H44))</f>
        <v>1376.7434999999998</v>
      </c>
      <c r="J44" s="240">
        <f>25.39/32</f>
        <v>0.79343750000000002</v>
      </c>
      <c r="K44" s="241">
        <f t="shared" ref="K44:K50" si="56">IF(F44=0,"",J44*I44)</f>
        <v>1092.3599207812499</v>
      </c>
      <c r="L44" s="242">
        <f t="shared" ref="L44" si="57">IF(F44=0,"",L$34)</f>
        <v>53.82</v>
      </c>
      <c r="M44" s="26">
        <v>1.6E-2</v>
      </c>
      <c r="N44" s="26">
        <f t="shared" ref="N44:N50" si="58">IF(F44=0,"",M44*I44)</f>
        <v>22.027895999999998</v>
      </c>
      <c r="O44" s="241">
        <f t="shared" ref="O44:O50" si="59">IF(F44=0,"",N44*L44)</f>
        <v>1185.5413627199998</v>
      </c>
      <c r="P44" s="243">
        <f t="shared" ref="P44:P50" si="60">IF(F44=0,"",(K44+O44)/I44)</f>
        <v>1.6545575000000001</v>
      </c>
      <c r="Q44" s="241">
        <f t="shared" ref="Q44:Q50" si="61">IF(F44=0,"",(P44*I44))</f>
        <v>2277.90128350125</v>
      </c>
      <c r="R44" s="121"/>
    </row>
    <row r="45" spans="1:18" x14ac:dyDescent="0.35">
      <c r="A45" s="69" t="str">
        <f>IF(TRIM(G45)&lt;&gt;"",COUNTA(G$11:$G45)&amp;"","")</f>
        <v>24</v>
      </c>
      <c r="B45" s="284"/>
      <c r="C45" s="284"/>
      <c r="D45" s="34"/>
      <c r="E45" s="228" t="s">
        <v>131</v>
      </c>
      <c r="F45" s="71">
        <f>F38*18</f>
        <v>1668.78</v>
      </c>
      <c r="G45" s="63" t="s">
        <v>69</v>
      </c>
      <c r="H45" s="22">
        <v>0.1</v>
      </c>
      <c r="I45" s="49">
        <f t="shared" si="55"/>
        <v>1835.6579999999999</v>
      </c>
      <c r="J45" s="240">
        <v>0.52</v>
      </c>
      <c r="K45" s="241">
        <f t="shared" si="56"/>
        <v>954.54215999999997</v>
      </c>
      <c r="L45" s="242">
        <f>IF(F45=0,"",L$34)</f>
        <v>53.82</v>
      </c>
      <c r="M45" s="26">
        <v>0.01</v>
      </c>
      <c r="N45" s="26">
        <f t="shared" si="58"/>
        <v>18.356580000000001</v>
      </c>
      <c r="O45" s="241">
        <f t="shared" si="59"/>
        <v>987.95113560000004</v>
      </c>
      <c r="P45" s="243">
        <f t="shared" si="60"/>
        <v>1.0582</v>
      </c>
      <c r="Q45" s="241">
        <f t="shared" si="61"/>
        <v>1942.4932956</v>
      </c>
      <c r="R45" s="121"/>
    </row>
    <row r="46" spans="1:18" x14ac:dyDescent="0.35">
      <c r="A46" s="69" t="str">
        <f>IF(TRIM(G46)&lt;&gt;"",COUNTA(G$11:$G46)&amp;"","")</f>
        <v>25</v>
      </c>
      <c r="B46" s="284"/>
      <c r="C46" s="284"/>
      <c r="D46" s="34"/>
      <c r="E46" s="228" t="s">
        <v>163</v>
      </c>
      <c r="F46" s="71">
        <f>F38</f>
        <v>92.71</v>
      </c>
      <c r="G46" s="63" t="s">
        <v>83</v>
      </c>
      <c r="H46" s="22">
        <v>0.1</v>
      </c>
      <c r="I46" s="49">
        <f t="shared" si="55"/>
        <v>101.98099999999999</v>
      </c>
      <c r="J46" s="240">
        <v>0.85</v>
      </c>
      <c r="K46" s="241">
        <f t="shared" si="56"/>
        <v>86.683849999999993</v>
      </c>
      <c r="L46" s="242">
        <f t="shared" ref="L46:L47" si="62">IF(F46=0,"",L$34)</f>
        <v>53.82</v>
      </c>
      <c r="M46" s="26">
        <v>0.02</v>
      </c>
      <c r="N46" s="26">
        <f t="shared" si="58"/>
        <v>2.0396199999999998</v>
      </c>
      <c r="O46" s="241">
        <f t="shared" si="59"/>
        <v>109.77234839999998</v>
      </c>
      <c r="P46" s="243">
        <f t="shared" si="60"/>
        <v>1.9263999999999999</v>
      </c>
      <c r="Q46" s="241">
        <f t="shared" si="61"/>
        <v>196.45619839999998</v>
      </c>
      <c r="R46" s="121"/>
    </row>
    <row r="47" spans="1:18" x14ac:dyDescent="0.35">
      <c r="A47" s="69" t="str">
        <f>IF(TRIM(G47)&lt;&gt;"",COUNTA(G$11:$G47)&amp;"","")</f>
        <v>26</v>
      </c>
      <c r="B47" s="284"/>
      <c r="C47" s="284"/>
      <c r="D47" s="34"/>
      <c r="E47" s="228" t="s">
        <v>164</v>
      </c>
      <c r="F47" s="71">
        <f>F38</f>
        <v>92.71</v>
      </c>
      <c r="G47" s="63" t="s">
        <v>83</v>
      </c>
      <c r="H47" s="22">
        <v>0.1</v>
      </c>
      <c r="I47" s="49">
        <f t="shared" si="55"/>
        <v>101.98099999999999</v>
      </c>
      <c r="J47" s="240">
        <f>26.69/16</f>
        <v>1.6681250000000001</v>
      </c>
      <c r="K47" s="241">
        <f t="shared" si="56"/>
        <v>170.11705562500001</v>
      </c>
      <c r="L47" s="242">
        <f t="shared" si="62"/>
        <v>53.82</v>
      </c>
      <c r="M47" s="26">
        <v>2.4E-2</v>
      </c>
      <c r="N47" s="26">
        <f t="shared" si="58"/>
        <v>2.4475439999999997</v>
      </c>
      <c r="O47" s="241">
        <f t="shared" si="59"/>
        <v>131.72681807999999</v>
      </c>
      <c r="P47" s="243">
        <f t="shared" si="60"/>
        <v>2.9598049999999998</v>
      </c>
      <c r="Q47" s="241">
        <f t="shared" si="61"/>
        <v>301.84387370499996</v>
      </c>
      <c r="R47" s="121"/>
    </row>
    <row r="48" spans="1:18" x14ac:dyDescent="0.35">
      <c r="A48" s="69" t="str">
        <f>IF(TRIM(G48)&lt;&gt;"",COUNTA(G$11:$G48)&amp;"","")</f>
        <v>27</v>
      </c>
      <c r="B48" s="284"/>
      <c r="C48" s="284"/>
      <c r="D48" s="34"/>
      <c r="E48" s="228" t="s">
        <v>165</v>
      </c>
      <c r="F48" s="71">
        <f>(F38*13.5)/2</f>
        <v>625.7924999999999</v>
      </c>
      <c r="G48" s="63" t="s">
        <v>83</v>
      </c>
      <c r="H48" s="22">
        <v>0.1</v>
      </c>
      <c r="I48" s="49">
        <f t="shared" si="55"/>
        <v>688.37174999999991</v>
      </c>
      <c r="J48" s="240">
        <v>0.85</v>
      </c>
      <c r="K48" s="241">
        <f t="shared" si="56"/>
        <v>585.11598749999996</v>
      </c>
      <c r="L48" s="242">
        <f t="shared" ref="L48:L50" si="63">IF(F48=0,"",L$34)</f>
        <v>53.82</v>
      </c>
      <c r="M48" s="26">
        <v>0.02</v>
      </c>
      <c r="N48" s="26">
        <f t="shared" si="58"/>
        <v>13.767434999999999</v>
      </c>
      <c r="O48" s="241">
        <f t="shared" si="59"/>
        <v>740.96335169999998</v>
      </c>
      <c r="P48" s="243">
        <f t="shared" si="60"/>
        <v>1.9264000000000003</v>
      </c>
      <c r="Q48" s="241">
        <f t="shared" si="61"/>
        <v>1326.0793392</v>
      </c>
      <c r="R48" s="121"/>
    </row>
    <row r="49" spans="1:18" x14ac:dyDescent="0.35">
      <c r="A49" s="69" t="str">
        <f>IF(TRIM(G49)&lt;&gt;"",COUNTA(G$11:$G49)&amp;"","")</f>
        <v>28</v>
      </c>
      <c r="B49" s="284"/>
      <c r="C49" s="284"/>
      <c r="D49" s="34"/>
      <c r="E49" s="228" t="s">
        <v>166</v>
      </c>
      <c r="F49" s="71">
        <f>F38</f>
        <v>92.71</v>
      </c>
      <c r="G49" s="63" t="s">
        <v>83</v>
      </c>
      <c r="H49" s="22">
        <v>0.1</v>
      </c>
      <c r="I49" s="49">
        <f t="shared" si="55"/>
        <v>101.98099999999999</v>
      </c>
      <c r="J49" s="240">
        <v>2.2999999999999998</v>
      </c>
      <c r="K49" s="241">
        <f t="shared" si="56"/>
        <v>234.55629999999996</v>
      </c>
      <c r="L49" s="242">
        <f t="shared" si="63"/>
        <v>53.82</v>
      </c>
      <c r="M49" s="26">
        <v>2.5999999999999999E-2</v>
      </c>
      <c r="N49" s="26">
        <f t="shared" si="58"/>
        <v>2.6515059999999999</v>
      </c>
      <c r="O49" s="241">
        <f t="shared" si="59"/>
        <v>142.70405292000001</v>
      </c>
      <c r="P49" s="243">
        <f t="shared" si="60"/>
        <v>3.6993199999999997</v>
      </c>
      <c r="Q49" s="241">
        <f t="shared" si="61"/>
        <v>377.26035291999995</v>
      </c>
      <c r="R49" s="121"/>
    </row>
    <row r="50" spans="1:18" x14ac:dyDescent="0.35">
      <c r="A50" s="69" t="str">
        <f>IF(TRIM(G50)&lt;&gt;"",COUNTA(G$11:$G50)&amp;"","")</f>
        <v>29</v>
      </c>
      <c r="B50" s="284"/>
      <c r="C50" s="284"/>
      <c r="D50" s="34"/>
      <c r="E50" s="228" t="s">
        <v>108</v>
      </c>
      <c r="F50" s="71">
        <f>F38*2</f>
        <v>185.42</v>
      </c>
      <c r="G50" s="63" t="s">
        <v>83</v>
      </c>
      <c r="H50" s="22">
        <v>0.1</v>
      </c>
      <c r="I50" s="49">
        <f t="shared" si="55"/>
        <v>203.96199999999999</v>
      </c>
      <c r="J50" s="240">
        <v>1.26</v>
      </c>
      <c r="K50" s="241">
        <f t="shared" si="56"/>
        <v>256.99212</v>
      </c>
      <c r="L50" s="242">
        <f t="shared" si="63"/>
        <v>53.82</v>
      </c>
      <c r="M50" s="26">
        <v>5.1999999999999998E-2</v>
      </c>
      <c r="N50" s="26">
        <f t="shared" si="58"/>
        <v>10.606024</v>
      </c>
      <c r="O50" s="241">
        <f t="shared" si="59"/>
        <v>570.81621168000004</v>
      </c>
      <c r="P50" s="243">
        <f t="shared" si="60"/>
        <v>4.0586400000000005</v>
      </c>
      <c r="Q50" s="241">
        <f t="shared" si="61"/>
        <v>827.80833168000004</v>
      </c>
      <c r="R50" s="121"/>
    </row>
    <row r="51" spans="1:18" x14ac:dyDescent="0.35">
      <c r="A51" s="69" t="str">
        <f>IF(TRIM(G51)&lt;&gt;"",COUNTA(G$11:$G167)&amp;"","")</f>
        <v/>
      </c>
      <c r="B51" s="284"/>
      <c r="C51" s="284"/>
      <c r="D51" s="34"/>
      <c r="E51" s="67"/>
      <c r="F51" s="71"/>
      <c r="G51" s="63"/>
      <c r="H51" s="22"/>
      <c r="I51" s="49"/>
      <c r="J51" s="23"/>
      <c r="K51" s="24"/>
      <c r="L51" s="25"/>
      <c r="M51" s="26"/>
      <c r="N51" s="26"/>
      <c r="O51" s="24"/>
      <c r="P51" s="27"/>
      <c r="Q51" s="24"/>
      <c r="R51" s="121"/>
    </row>
    <row r="52" spans="1:18" ht="19.5" customHeight="1" x14ac:dyDescent="0.35">
      <c r="A52" s="69" t="str">
        <f>IF(TRIM(G52)&lt;&gt;"",COUNTA(G$11:$G52)&amp;"","")</f>
        <v>30</v>
      </c>
      <c r="B52" s="284"/>
      <c r="C52" s="284"/>
      <c r="D52" s="34"/>
      <c r="E52" s="237" t="s">
        <v>137</v>
      </c>
      <c r="F52" s="234">
        <v>188.62</v>
      </c>
      <c r="G52" s="238" t="s">
        <v>83</v>
      </c>
      <c r="H52" s="22"/>
      <c r="I52" s="49"/>
      <c r="J52" s="23"/>
      <c r="K52" s="24"/>
      <c r="L52" s="25"/>
      <c r="M52" s="26"/>
      <c r="N52" s="26"/>
      <c r="O52" s="24"/>
      <c r="P52" s="27"/>
      <c r="Q52" s="24"/>
      <c r="R52" s="121"/>
    </row>
    <row r="53" spans="1:18" x14ac:dyDescent="0.35">
      <c r="A53" s="69" t="str">
        <f>IF(TRIM(G53)&lt;&gt;"",COUNTA(G$11:$G53)&amp;"","")</f>
        <v>31</v>
      </c>
      <c r="B53" s="284"/>
      <c r="C53" s="284"/>
      <c r="D53" s="34"/>
      <c r="E53" s="67" t="s">
        <v>133</v>
      </c>
      <c r="F53" s="71">
        <f>F52/1.33+1</f>
        <v>142.81954887218043</v>
      </c>
      <c r="G53" s="63" t="s">
        <v>102</v>
      </c>
      <c r="H53" s="22">
        <v>0</v>
      </c>
      <c r="I53" s="49">
        <f t="shared" ref="I53:I54" si="64">IF(F53=0,"",F53+(F53*H53))</f>
        <v>142.81954887218043</v>
      </c>
      <c r="J53" s="240">
        <f>1.26*16</f>
        <v>20.16</v>
      </c>
      <c r="K53" s="241">
        <f t="shared" ref="K53:K54" si="65">IF(F53=0,"",J53*I53)</f>
        <v>2879.2421052631576</v>
      </c>
      <c r="L53" s="242">
        <f t="shared" ref="L53:L54" si="66">IF(F53=0,"",L$34)</f>
        <v>53.82</v>
      </c>
      <c r="M53" s="26">
        <f>0.052*16</f>
        <v>0.83199999999999996</v>
      </c>
      <c r="N53" s="26">
        <f t="shared" ref="N53:N54" si="67">IF(F53=0,"",M53*I53)</f>
        <v>118.82586466165411</v>
      </c>
      <c r="O53" s="241">
        <f t="shared" ref="O53:O54" si="68">IF(F53=0,"",N53*L53)</f>
        <v>6395.2080360902246</v>
      </c>
      <c r="P53" s="243">
        <f t="shared" ref="P53:P54" si="69">IF(F53=0,"",(K53+O53)/I53)</f>
        <v>64.938239999999993</v>
      </c>
      <c r="Q53" s="241">
        <f t="shared" ref="Q53:Q54" si="70">IF(F53=0,"",(P53*I53))</f>
        <v>9274.4501413533817</v>
      </c>
      <c r="R53" s="121"/>
    </row>
    <row r="54" spans="1:18" x14ac:dyDescent="0.35">
      <c r="A54" s="69" t="str">
        <f>IF(TRIM(G54)&lt;&gt;"",COUNTA(G$11:$G54)&amp;"","")</f>
        <v>32</v>
      </c>
      <c r="B54" s="284"/>
      <c r="C54" s="284"/>
      <c r="D54" s="34"/>
      <c r="E54" s="228" t="s">
        <v>123</v>
      </c>
      <c r="F54" s="71">
        <f>F52</f>
        <v>188.62</v>
      </c>
      <c r="G54" s="63" t="s">
        <v>83</v>
      </c>
      <c r="H54" s="22">
        <v>0.1</v>
      </c>
      <c r="I54" s="49">
        <f t="shared" si="64"/>
        <v>207.482</v>
      </c>
      <c r="J54" s="240">
        <v>1.26</v>
      </c>
      <c r="K54" s="241">
        <f t="shared" si="65"/>
        <v>261.42732000000001</v>
      </c>
      <c r="L54" s="242">
        <f t="shared" si="66"/>
        <v>53.82</v>
      </c>
      <c r="M54" s="26">
        <v>5.1999999999999998E-2</v>
      </c>
      <c r="N54" s="26">
        <f t="shared" si="67"/>
        <v>10.789064</v>
      </c>
      <c r="O54" s="241">
        <f t="shared" si="68"/>
        <v>580.66742448000002</v>
      </c>
      <c r="P54" s="243">
        <f t="shared" si="69"/>
        <v>4.0586400000000005</v>
      </c>
      <c r="Q54" s="241">
        <f t="shared" si="70"/>
        <v>842.09474448000014</v>
      </c>
      <c r="R54" s="121"/>
    </row>
    <row r="55" spans="1:18" x14ac:dyDescent="0.35">
      <c r="A55" s="69" t="str">
        <f>IF(TRIM(G55)&lt;&gt;"",COUNTA(G$11:$G55)&amp;"","")</f>
        <v>33</v>
      </c>
      <c r="B55" s="284"/>
      <c r="C55" s="284"/>
      <c r="D55" s="34"/>
      <c r="E55" s="228" t="s">
        <v>124</v>
      </c>
      <c r="F55" s="71">
        <f>F52</f>
        <v>188.62</v>
      </c>
      <c r="G55" s="63" t="s">
        <v>83</v>
      </c>
      <c r="H55" s="22">
        <v>0.1</v>
      </c>
      <c r="I55" s="49">
        <f t="shared" ref="I55:I61" si="71">IF(F55=0,"",F55+(F55*H55))</f>
        <v>207.482</v>
      </c>
      <c r="J55" s="240">
        <v>1.26</v>
      </c>
      <c r="K55" s="241">
        <f t="shared" ref="K55:K61" si="72">IF(F55=0,"",J55*I55)</f>
        <v>261.42732000000001</v>
      </c>
      <c r="L55" s="242">
        <f t="shared" ref="L55:L57" si="73">IF(F55=0,"",L$34)</f>
        <v>53.82</v>
      </c>
      <c r="M55" s="26">
        <v>5.1999999999999998E-2</v>
      </c>
      <c r="N55" s="26">
        <f t="shared" ref="N55:N61" si="74">IF(F55=0,"",M55*I55)</f>
        <v>10.789064</v>
      </c>
      <c r="O55" s="241">
        <f t="shared" ref="O55:O61" si="75">IF(F55=0,"",N55*L55)</f>
        <v>580.66742448000002</v>
      </c>
      <c r="P55" s="243">
        <f t="shared" ref="P55:P61" si="76">IF(F55=0,"",(K55+O55)/I55)</f>
        <v>4.0586400000000005</v>
      </c>
      <c r="Q55" s="241">
        <f t="shared" ref="Q55:Q61" si="77">IF(F55=0,"",(P55*I55))</f>
        <v>842.09474448000014</v>
      </c>
      <c r="R55" s="121"/>
    </row>
    <row r="56" spans="1:18" x14ac:dyDescent="0.35">
      <c r="A56" s="69" t="str">
        <f>IF(TRIM(G56)&lt;&gt;"",COUNTA(G$11:$G56)&amp;"","")</f>
        <v>34</v>
      </c>
      <c r="B56" s="284"/>
      <c r="C56" s="284"/>
      <c r="D56" s="34"/>
      <c r="E56" s="228" t="s">
        <v>130</v>
      </c>
      <c r="F56" s="71">
        <v>14</v>
      </c>
      <c r="G56" s="63" t="s">
        <v>69</v>
      </c>
      <c r="H56" s="22">
        <v>0.1</v>
      </c>
      <c r="I56" s="49">
        <f t="shared" si="71"/>
        <v>15.4</v>
      </c>
      <c r="J56" s="240">
        <f>24.3/32</f>
        <v>0.75937500000000002</v>
      </c>
      <c r="K56" s="241">
        <f t="shared" si="72"/>
        <v>11.694375000000001</v>
      </c>
      <c r="L56" s="242">
        <f t="shared" si="73"/>
        <v>53.82</v>
      </c>
      <c r="M56" s="26">
        <v>1.6E-2</v>
      </c>
      <c r="N56" s="26">
        <f t="shared" si="74"/>
        <v>0.24640000000000001</v>
      </c>
      <c r="O56" s="241">
        <f t="shared" si="75"/>
        <v>13.261248</v>
      </c>
      <c r="P56" s="243">
        <f t="shared" si="76"/>
        <v>1.6204950000000002</v>
      </c>
      <c r="Q56" s="241">
        <f t="shared" si="77"/>
        <v>24.955623000000003</v>
      </c>
      <c r="R56" s="121"/>
    </row>
    <row r="57" spans="1:18" x14ac:dyDescent="0.35">
      <c r="A57" s="69" t="str">
        <f>IF(TRIM(G57)&lt;&gt;"",COUNTA(G$11:$G57)&amp;"","")</f>
        <v>35</v>
      </c>
      <c r="B57" s="284"/>
      <c r="C57" s="284"/>
      <c r="D57" s="34"/>
      <c r="E57" s="228" t="s">
        <v>125</v>
      </c>
      <c r="F57" s="71">
        <f>F52*14.5</f>
        <v>2734.9900000000002</v>
      </c>
      <c r="G57" s="63" t="s">
        <v>69</v>
      </c>
      <c r="H57" s="22">
        <v>0.1</v>
      </c>
      <c r="I57" s="49">
        <f t="shared" si="71"/>
        <v>3008.4890000000005</v>
      </c>
      <c r="J57" s="240">
        <v>0.62</v>
      </c>
      <c r="K57" s="241">
        <f t="shared" si="72"/>
        <v>1865.2631800000004</v>
      </c>
      <c r="L57" s="242">
        <f t="shared" si="73"/>
        <v>53.82</v>
      </c>
      <c r="M57" s="26">
        <v>1.6E-2</v>
      </c>
      <c r="N57" s="26">
        <f t="shared" si="74"/>
        <v>48.135824000000007</v>
      </c>
      <c r="O57" s="241">
        <f t="shared" si="75"/>
        <v>2590.6700476800002</v>
      </c>
      <c r="P57" s="243">
        <f t="shared" si="76"/>
        <v>1.48112</v>
      </c>
      <c r="Q57" s="241">
        <f t="shared" si="77"/>
        <v>4455.9332276800005</v>
      </c>
      <c r="R57" s="121"/>
    </row>
    <row r="58" spans="1:18" x14ac:dyDescent="0.35">
      <c r="A58" s="69" t="str">
        <f>IF(TRIM(G58)&lt;&gt;"",COUNTA(G$11:$G58)&amp;"","")</f>
        <v>36</v>
      </c>
      <c r="B58" s="284"/>
      <c r="C58" s="284"/>
      <c r="D58" s="34"/>
      <c r="E58" s="67" t="s">
        <v>126</v>
      </c>
      <c r="F58" s="71">
        <f>F52*13.5</f>
        <v>2546.37</v>
      </c>
      <c r="G58" s="63" t="s">
        <v>69</v>
      </c>
      <c r="H58" s="22">
        <v>0.1</v>
      </c>
      <c r="I58" s="49">
        <f t="shared" si="71"/>
        <v>2801.0070000000001</v>
      </c>
      <c r="J58" s="240">
        <f>25.39/32</f>
        <v>0.79343750000000002</v>
      </c>
      <c r="K58" s="241">
        <f t="shared" si="72"/>
        <v>2222.4239915625003</v>
      </c>
      <c r="L58" s="242">
        <f t="shared" ref="L58" si="78">IF(F58=0,"",L$34)</f>
        <v>53.82</v>
      </c>
      <c r="M58" s="26">
        <v>1.6E-2</v>
      </c>
      <c r="N58" s="26">
        <f t="shared" si="74"/>
        <v>44.816112000000004</v>
      </c>
      <c r="O58" s="241">
        <f t="shared" si="75"/>
        <v>2412.0031478400001</v>
      </c>
      <c r="P58" s="243">
        <f t="shared" si="76"/>
        <v>1.6545574999999999</v>
      </c>
      <c r="Q58" s="241">
        <f t="shared" si="77"/>
        <v>4634.4271394025</v>
      </c>
      <c r="R58" s="121"/>
    </row>
    <row r="59" spans="1:18" x14ac:dyDescent="0.35">
      <c r="A59" s="69" t="str">
        <f>IF(TRIM(G59)&lt;&gt;"",COUNTA(G$11:$G59)&amp;"","")</f>
        <v>37</v>
      </c>
      <c r="B59" s="284"/>
      <c r="C59" s="284"/>
      <c r="D59" s="34"/>
      <c r="E59" s="228" t="s">
        <v>162</v>
      </c>
      <c r="F59" s="71">
        <f>F52*16</f>
        <v>3017.92</v>
      </c>
      <c r="G59" s="63" t="s">
        <v>69</v>
      </c>
      <c r="H59" s="22">
        <v>0.1</v>
      </c>
      <c r="I59" s="49">
        <f t="shared" si="71"/>
        <v>3319.712</v>
      </c>
      <c r="J59" s="240">
        <v>0.49</v>
      </c>
      <c r="K59" s="241">
        <f t="shared" si="72"/>
        <v>1626.65888</v>
      </c>
      <c r="L59" s="242">
        <f t="shared" ref="L59" si="79">IF(F59=0,"",L$34)</f>
        <v>53.82</v>
      </c>
      <c r="M59" s="26">
        <v>0.01</v>
      </c>
      <c r="N59" s="26">
        <f t="shared" si="74"/>
        <v>33.197119999999998</v>
      </c>
      <c r="O59" s="241">
        <f t="shared" si="75"/>
        <v>1786.6689984</v>
      </c>
      <c r="P59" s="243">
        <f t="shared" si="76"/>
        <v>1.0282</v>
      </c>
      <c r="Q59" s="241">
        <f t="shared" si="77"/>
        <v>3413.3278783999999</v>
      </c>
      <c r="R59" s="121"/>
    </row>
    <row r="60" spans="1:18" x14ac:dyDescent="0.35">
      <c r="A60" s="69" t="str">
        <f>IF(TRIM(G60)&lt;&gt;"",COUNTA(G$11:$G60)&amp;"","")</f>
        <v>38</v>
      </c>
      <c r="B60" s="284"/>
      <c r="C60" s="284"/>
      <c r="D60" s="34"/>
      <c r="E60" s="228" t="s">
        <v>163</v>
      </c>
      <c r="F60" s="71">
        <f>F52</f>
        <v>188.62</v>
      </c>
      <c r="G60" s="63" t="s">
        <v>83</v>
      </c>
      <c r="H60" s="22">
        <v>0.1</v>
      </c>
      <c r="I60" s="49">
        <f t="shared" si="71"/>
        <v>207.482</v>
      </c>
      <c r="J60" s="240">
        <v>0.85</v>
      </c>
      <c r="K60" s="241">
        <f t="shared" si="72"/>
        <v>176.3597</v>
      </c>
      <c r="L60" s="242">
        <f t="shared" ref="L60:L61" si="80">IF(F60=0,"",L$34)</f>
        <v>53.82</v>
      </c>
      <c r="M60" s="26">
        <v>0.02</v>
      </c>
      <c r="N60" s="26">
        <f t="shared" si="74"/>
        <v>4.1496399999999998</v>
      </c>
      <c r="O60" s="241">
        <f t="shared" si="75"/>
        <v>223.3336248</v>
      </c>
      <c r="P60" s="243">
        <f t="shared" si="76"/>
        <v>1.9264000000000001</v>
      </c>
      <c r="Q60" s="241">
        <f t="shared" si="77"/>
        <v>399.69332480000003</v>
      </c>
      <c r="R60" s="121"/>
    </row>
    <row r="61" spans="1:18" x14ac:dyDescent="0.35">
      <c r="A61" s="69" t="str">
        <f>IF(TRIM(G61)&lt;&gt;"",COUNTA(G$11:$G61)&amp;"","")</f>
        <v>39</v>
      </c>
      <c r="B61" s="284"/>
      <c r="C61" s="284"/>
      <c r="D61" s="34"/>
      <c r="E61" s="228" t="s">
        <v>164</v>
      </c>
      <c r="F61" s="71">
        <f>F52</f>
        <v>188.62</v>
      </c>
      <c r="G61" s="63" t="s">
        <v>83</v>
      </c>
      <c r="H61" s="22">
        <v>0.1</v>
      </c>
      <c r="I61" s="49">
        <f t="shared" si="71"/>
        <v>207.482</v>
      </c>
      <c r="J61" s="240">
        <f>26.69/16</f>
        <v>1.6681250000000001</v>
      </c>
      <c r="K61" s="241">
        <f t="shared" si="72"/>
        <v>346.10591125000002</v>
      </c>
      <c r="L61" s="242">
        <f t="shared" si="80"/>
        <v>53.82</v>
      </c>
      <c r="M61" s="26">
        <v>2.4E-2</v>
      </c>
      <c r="N61" s="26">
        <f t="shared" si="74"/>
        <v>4.9795680000000004</v>
      </c>
      <c r="O61" s="241">
        <f t="shared" si="75"/>
        <v>268.00034976000001</v>
      </c>
      <c r="P61" s="243">
        <f t="shared" si="76"/>
        <v>2.9598050000000002</v>
      </c>
      <c r="Q61" s="241">
        <f t="shared" si="77"/>
        <v>614.10626101000003</v>
      </c>
      <c r="R61" s="121"/>
    </row>
    <row r="62" spans="1:18" x14ac:dyDescent="0.35">
      <c r="A62" s="69" t="str">
        <f>IF(TRIM(G62)&lt;&gt;"",COUNTA(G$11:$G62)&amp;"","")</f>
        <v>40</v>
      </c>
      <c r="B62" s="284"/>
      <c r="C62" s="284"/>
      <c r="D62" s="34"/>
      <c r="E62" s="228" t="s">
        <v>165</v>
      </c>
      <c r="F62" s="71">
        <f>(F52*13.5)/2</f>
        <v>1273.1849999999999</v>
      </c>
      <c r="G62" s="63" t="s">
        <v>83</v>
      </c>
      <c r="H62" s="22">
        <v>0.1</v>
      </c>
      <c r="I62" s="49">
        <f t="shared" ref="I62:I64" si="81">IF(F62=0,"",F62+(F62*H62))</f>
        <v>1400.5035</v>
      </c>
      <c r="J62" s="240">
        <v>0.85</v>
      </c>
      <c r="K62" s="241">
        <f t="shared" ref="K62:K64" si="82">IF(F62=0,"",J62*I62)</f>
        <v>1190.4279750000001</v>
      </c>
      <c r="L62" s="242">
        <f t="shared" ref="L62:L64" si="83">IF(F62=0,"",L$34)</f>
        <v>53.82</v>
      </c>
      <c r="M62" s="26">
        <v>0.02</v>
      </c>
      <c r="N62" s="26">
        <f t="shared" ref="N62:N64" si="84">IF(F62=0,"",M62*I62)</f>
        <v>28.010070000000002</v>
      </c>
      <c r="O62" s="241">
        <f t="shared" ref="O62:O64" si="85">IF(F62=0,"",N62*L62)</f>
        <v>1507.5019674000002</v>
      </c>
      <c r="P62" s="243">
        <f t="shared" ref="P62:P64" si="86">IF(F62=0,"",(K62+O62)/I62)</f>
        <v>1.9264000000000001</v>
      </c>
      <c r="Q62" s="241">
        <f t="shared" ref="Q62:Q64" si="87">IF(F62=0,"",(P62*I62))</f>
        <v>2697.9299424000001</v>
      </c>
      <c r="R62" s="121"/>
    </row>
    <row r="63" spans="1:18" x14ac:dyDescent="0.35">
      <c r="A63" s="69" t="str">
        <f>IF(TRIM(G63)&lt;&gt;"",COUNTA(G$11:$G63)&amp;"","")</f>
        <v>41</v>
      </c>
      <c r="B63" s="284"/>
      <c r="C63" s="284"/>
      <c r="D63" s="34"/>
      <c r="E63" s="228" t="s">
        <v>166</v>
      </c>
      <c r="F63" s="71">
        <f>F52</f>
        <v>188.62</v>
      </c>
      <c r="G63" s="63" t="s">
        <v>83</v>
      </c>
      <c r="H63" s="22">
        <v>0.1</v>
      </c>
      <c r="I63" s="49">
        <f t="shared" si="81"/>
        <v>207.482</v>
      </c>
      <c r="J63" s="240">
        <v>2.2999999999999998</v>
      </c>
      <c r="K63" s="241">
        <f t="shared" si="82"/>
        <v>477.20859999999999</v>
      </c>
      <c r="L63" s="242">
        <f t="shared" si="83"/>
        <v>53.82</v>
      </c>
      <c r="M63" s="26">
        <v>2.5999999999999999E-2</v>
      </c>
      <c r="N63" s="26">
        <f t="shared" si="84"/>
        <v>5.3945319999999999</v>
      </c>
      <c r="O63" s="241">
        <f t="shared" si="85"/>
        <v>290.33371224000001</v>
      </c>
      <c r="P63" s="243">
        <f t="shared" si="86"/>
        <v>3.6993200000000002</v>
      </c>
      <c r="Q63" s="241">
        <f t="shared" si="87"/>
        <v>767.54231224</v>
      </c>
      <c r="R63" s="121"/>
    </row>
    <row r="64" spans="1:18" x14ac:dyDescent="0.35">
      <c r="A64" s="69" t="str">
        <f>IF(TRIM(G64)&lt;&gt;"",COUNTA(G$11:$G64)&amp;"","")</f>
        <v>42</v>
      </c>
      <c r="B64" s="284"/>
      <c r="C64" s="284"/>
      <c r="D64" s="34"/>
      <c r="E64" s="228" t="s">
        <v>108</v>
      </c>
      <c r="F64" s="71">
        <f>F52*2</f>
        <v>377.24</v>
      </c>
      <c r="G64" s="63" t="s">
        <v>83</v>
      </c>
      <c r="H64" s="22">
        <v>0.1</v>
      </c>
      <c r="I64" s="49">
        <f t="shared" si="81"/>
        <v>414.964</v>
      </c>
      <c r="J64" s="240">
        <v>0.2</v>
      </c>
      <c r="K64" s="241">
        <f t="shared" si="82"/>
        <v>82.992800000000003</v>
      </c>
      <c r="L64" s="242">
        <f t="shared" si="83"/>
        <v>53.82</v>
      </c>
      <c r="M64" s="26">
        <v>1.6E-2</v>
      </c>
      <c r="N64" s="26">
        <f t="shared" si="84"/>
        <v>6.639424</v>
      </c>
      <c r="O64" s="241">
        <f t="shared" si="85"/>
        <v>357.33379968000003</v>
      </c>
      <c r="P64" s="243">
        <f t="shared" si="86"/>
        <v>1.0611200000000001</v>
      </c>
      <c r="Q64" s="241">
        <f t="shared" si="87"/>
        <v>440.32659968000002</v>
      </c>
      <c r="R64" s="121"/>
    </row>
    <row r="65" spans="1:18" x14ac:dyDescent="0.35">
      <c r="A65" s="69" t="str">
        <f>IF(TRIM(G65)&lt;&gt;"",COUNTA(G$11:$G260)&amp;"","")</f>
        <v/>
      </c>
      <c r="B65" s="284"/>
      <c r="C65" s="284"/>
      <c r="D65" s="34"/>
      <c r="E65" s="67"/>
      <c r="F65" s="71"/>
      <c r="G65" s="63"/>
      <c r="H65" s="22"/>
      <c r="I65" s="49"/>
      <c r="J65" s="23"/>
      <c r="K65" s="24"/>
      <c r="L65" s="25"/>
      <c r="M65" s="26"/>
      <c r="N65" s="26"/>
      <c r="O65" s="24"/>
      <c r="P65" s="27"/>
      <c r="Q65" s="24"/>
      <c r="R65" s="121"/>
    </row>
    <row r="66" spans="1:18" x14ac:dyDescent="0.35">
      <c r="A66" s="69" t="str">
        <f>IF(TRIM(G66)&lt;&gt;"",COUNTA(G$11:$G66)&amp;"","")</f>
        <v>43</v>
      </c>
      <c r="B66" s="284"/>
      <c r="C66" s="284"/>
      <c r="D66" s="34"/>
      <c r="E66" s="233" t="s">
        <v>138</v>
      </c>
      <c r="F66" s="234">
        <v>287.31</v>
      </c>
      <c r="G66" s="238" t="s">
        <v>83</v>
      </c>
      <c r="H66" s="22"/>
      <c r="I66" s="49"/>
      <c r="J66" s="23"/>
      <c r="K66" s="24"/>
      <c r="L66" s="25"/>
      <c r="M66" s="26"/>
      <c r="N66" s="26"/>
      <c r="O66" s="24"/>
      <c r="P66" s="27"/>
      <c r="Q66" s="24"/>
      <c r="R66" s="121"/>
    </row>
    <row r="67" spans="1:18" x14ac:dyDescent="0.35">
      <c r="A67" s="69" t="str">
        <f>IF(TRIM(G67)&lt;&gt;"",COUNTA(G$11:$G67)&amp;"","")</f>
        <v>44</v>
      </c>
      <c r="B67" s="284"/>
      <c r="C67" s="284"/>
      <c r="D67" s="34"/>
      <c r="E67" s="67" t="s">
        <v>126</v>
      </c>
      <c r="F67" s="71">
        <f>F66*14</f>
        <v>4022.34</v>
      </c>
      <c r="G67" s="63" t="s">
        <v>69</v>
      </c>
      <c r="H67" s="22">
        <v>0.1</v>
      </c>
      <c r="I67" s="49">
        <f t="shared" ref="I67" si="88">IF(F67=0,"",F67+(F67*H67))</f>
        <v>4424.5740000000005</v>
      </c>
      <c r="J67" s="240">
        <f>25.39/32</f>
        <v>0.79343750000000002</v>
      </c>
      <c r="K67" s="241">
        <f t="shared" ref="K67" si="89">IF(F67=0,"",J67*I67)</f>
        <v>3510.6229331250006</v>
      </c>
      <c r="L67" s="242">
        <f t="shared" ref="L67" si="90">IF(F67=0,"",L$34)</f>
        <v>53.82</v>
      </c>
      <c r="M67" s="26">
        <v>1.6E-2</v>
      </c>
      <c r="N67" s="26">
        <f t="shared" ref="N67" si="91">IF(F67=0,"",M67*I67)</f>
        <v>70.793184000000011</v>
      </c>
      <c r="O67" s="241">
        <f t="shared" ref="O67" si="92">IF(F67=0,"",N67*L67)</f>
        <v>3810.0891628800005</v>
      </c>
      <c r="P67" s="243">
        <f t="shared" ref="P67" si="93">IF(F67=0,"",(K67+O67)/I67)</f>
        <v>1.6545575000000001</v>
      </c>
      <c r="Q67" s="241">
        <f t="shared" ref="Q67" si="94">IF(F67=0,"",(P67*I67))</f>
        <v>7320.7120960050015</v>
      </c>
      <c r="R67" s="121"/>
    </row>
    <row r="68" spans="1:18" x14ac:dyDescent="0.35">
      <c r="A68" s="69" t="str">
        <f>IF(TRIM(G68)&lt;&gt;"",COUNTA(G$11:$G68)&amp;"","")</f>
        <v>45</v>
      </c>
      <c r="B68" s="284"/>
      <c r="C68" s="284"/>
      <c r="D68" s="34"/>
      <c r="E68" s="228" t="s">
        <v>163</v>
      </c>
      <c r="F68" s="71">
        <f>F66</f>
        <v>287.31</v>
      </c>
      <c r="G68" s="63" t="s">
        <v>83</v>
      </c>
      <c r="H68" s="22">
        <v>0.1</v>
      </c>
      <c r="I68" s="49">
        <f t="shared" ref="I68:I71" si="95">IF(F68=0,"",F68+(F68*H68))</f>
        <v>316.041</v>
      </c>
      <c r="J68" s="240">
        <v>0.85</v>
      </c>
      <c r="K68" s="241">
        <f t="shared" ref="K68:K71" si="96">IF(F68=0,"",J68*I68)</f>
        <v>268.63484999999997</v>
      </c>
      <c r="L68" s="242">
        <f t="shared" ref="L68:L69" si="97">IF(F68=0,"",L$34)</f>
        <v>53.82</v>
      </c>
      <c r="M68" s="26">
        <v>0.02</v>
      </c>
      <c r="N68" s="26">
        <f t="shared" ref="N68:N71" si="98">IF(F68=0,"",M68*I68)</f>
        <v>6.3208200000000003</v>
      </c>
      <c r="O68" s="241">
        <f t="shared" ref="O68:O71" si="99">IF(F68=0,"",N68*L68)</f>
        <v>340.18653240000003</v>
      </c>
      <c r="P68" s="243">
        <f t="shared" ref="P68:P71" si="100">IF(F68=0,"",(K68+O68)/I68)</f>
        <v>1.9263999999999999</v>
      </c>
      <c r="Q68" s="241">
        <f t="shared" ref="Q68:Q71" si="101">IF(F68=0,"",(P68*I68))</f>
        <v>608.82138239999995</v>
      </c>
      <c r="R68" s="121"/>
    </row>
    <row r="69" spans="1:18" x14ac:dyDescent="0.35">
      <c r="A69" s="69" t="str">
        <f>IF(TRIM(G69)&lt;&gt;"",COUNTA(G$11:$G69)&amp;"","")</f>
        <v>46</v>
      </c>
      <c r="B69" s="284"/>
      <c r="C69" s="284"/>
      <c r="D69" s="34"/>
      <c r="E69" s="228" t="s">
        <v>164</v>
      </c>
      <c r="F69" s="71">
        <f>F66</f>
        <v>287.31</v>
      </c>
      <c r="G69" s="63" t="s">
        <v>83</v>
      </c>
      <c r="H69" s="22">
        <v>0.1</v>
      </c>
      <c r="I69" s="49">
        <f t="shared" si="95"/>
        <v>316.041</v>
      </c>
      <c r="J69" s="240">
        <f>26.69/16</f>
        <v>1.6681250000000001</v>
      </c>
      <c r="K69" s="241">
        <f t="shared" si="96"/>
        <v>527.195893125</v>
      </c>
      <c r="L69" s="242">
        <f t="shared" si="97"/>
        <v>53.82</v>
      </c>
      <c r="M69" s="26">
        <v>2.4E-2</v>
      </c>
      <c r="N69" s="26">
        <f t="shared" si="98"/>
        <v>7.5849840000000004</v>
      </c>
      <c r="O69" s="241">
        <f t="shared" si="99"/>
        <v>408.22383888000002</v>
      </c>
      <c r="P69" s="243">
        <f t="shared" si="100"/>
        <v>2.9598050000000002</v>
      </c>
      <c r="Q69" s="241">
        <f t="shared" si="101"/>
        <v>935.41973200500001</v>
      </c>
      <c r="R69" s="121"/>
    </row>
    <row r="70" spans="1:18" x14ac:dyDescent="0.35">
      <c r="A70" s="69" t="str">
        <f>IF(TRIM(G70)&lt;&gt;"",COUNTA(G$11:$G70)&amp;"","")</f>
        <v>47</v>
      </c>
      <c r="B70" s="284"/>
      <c r="C70" s="284"/>
      <c r="D70" s="34"/>
      <c r="E70" s="228" t="s">
        <v>165</v>
      </c>
      <c r="F70" s="71">
        <f>(F66*14)/2</f>
        <v>2011.17</v>
      </c>
      <c r="G70" s="63" t="s">
        <v>83</v>
      </c>
      <c r="H70" s="22">
        <v>0.1</v>
      </c>
      <c r="I70" s="49">
        <f t="shared" si="95"/>
        <v>2212.2870000000003</v>
      </c>
      <c r="J70" s="240">
        <v>0.85</v>
      </c>
      <c r="K70" s="241">
        <f t="shared" si="96"/>
        <v>1880.4439500000001</v>
      </c>
      <c r="L70" s="242">
        <f t="shared" ref="L70:L71" si="102">IF(F70=0,"",L$34)</f>
        <v>53.82</v>
      </c>
      <c r="M70" s="26">
        <v>0.02</v>
      </c>
      <c r="N70" s="26">
        <f t="shared" si="98"/>
        <v>44.245740000000005</v>
      </c>
      <c r="O70" s="241">
        <f t="shared" si="99"/>
        <v>2381.3057268000002</v>
      </c>
      <c r="P70" s="243">
        <f t="shared" si="100"/>
        <v>1.9263999999999999</v>
      </c>
      <c r="Q70" s="241">
        <f t="shared" si="101"/>
        <v>4261.7496768000001</v>
      </c>
      <c r="R70" s="121"/>
    </row>
    <row r="71" spans="1:18" x14ac:dyDescent="0.35">
      <c r="A71" s="69" t="str">
        <f>IF(TRIM(G71)&lt;&gt;"",COUNTA(G$11:$G71)&amp;"","")</f>
        <v>48</v>
      </c>
      <c r="B71" s="284"/>
      <c r="C71" s="284"/>
      <c r="D71" s="34"/>
      <c r="E71" s="228" t="s">
        <v>166</v>
      </c>
      <c r="F71" s="71">
        <f>F66</f>
        <v>287.31</v>
      </c>
      <c r="G71" s="63" t="s">
        <v>83</v>
      </c>
      <c r="H71" s="22">
        <v>0.1</v>
      </c>
      <c r="I71" s="49">
        <f t="shared" si="95"/>
        <v>316.041</v>
      </c>
      <c r="J71" s="240">
        <v>2.2999999999999998</v>
      </c>
      <c r="K71" s="241">
        <f t="shared" si="96"/>
        <v>726.89429999999993</v>
      </c>
      <c r="L71" s="242">
        <f t="shared" si="102"/>
        <v>53.82</v>
      </c>
      <c r="M71" s="26">
        <v>2.5999999999999999E-2</v>
      </c>
      <c r="N71" s="26">
        <f t="shared" si="98"/>
        <v>8.2170659999999991</v>
      </c>
      <c r="O71" s="241">
        <f t="shared" si="99"/>
        <v>442.24249211999995</v>
      </c>
      <c r="P71" s="243">
        <f t="shared" si="100"/>
        <v>3.6993199999999997</v>
      </c>
      <c r="Q71" s="241">
        <f t="shared" si="101"/>
        <v>1169.1367921199999</v>
      </c>
      <c r="R71" s="121"/>
    </row>
    <row r="72" spans="1:18" x14ac:dyDescent="0.35">
      <c r="A72" s="69" t="str">
        <f>IF(TRIM(G72)&lt;&gt;"",COUNTA(G$11:$G260)&amp;"","")</f>
        <v/>
      </c>
      <c r="B72" s="284"/>
      <c r="C72" s="284"/>
      <c r="D72" s="34"/>
      <c r="E72" s="67"/>
      <c r="F72" s="71"/>
      <c r="G72" s="63"/>
      <c r="H72" s="22"/>
      <c r="I72" s="49"/>
      <c r="J72" s="23"/>
      <c r="K72" s="24"/>
      <c r="L72" s="25"/>
      <c r="M72" s="26"/>
      <c r="N72" s="26"/>
      <c r="O72" s="24"/>
      <c r="P72" s="27"/>
      <c r="Q72" s="24"/>
      <c r="R72" s="121"/>
    </row>
    <row r="73" spans="1:18" x14ac:dyDescent="0.35">
      <c r="A73" s="69" t="str">
        <f>IF(TRIM(G73)&lt;&gt;"",COUNTA(G$11:$G73)&amp;"","")</f>
        <v>49</v>
      </c>
      <c r="B73" s="284"/>
      <c r="C73" s="284"/>
      <c r="D73" s="34"/>
      <c r="E73" s="233" t="s">
        <v>142</v>
      </c>
      <c r="F73" s="234">
        <v>14.01</v>
      </c>
      <c r="G73" s="238" t="s">
        <v>83</v>
      </c>
      <c r="H73" s="22"/>
      <c r="I73" s="49"/>
      <c r="J73" s="23"/>
      <c r="K73" s="24"/>
      <c r="L73" s="25"/>
      <c r="M73" s="26"/>
      <c r="N73" s="26"/>
      <c r="O73" s="24"/>
      <c r="P73" s="27"/>
      <c r="Q73" s="24"/>
      <c r="R73" s="121"/>
    </row>
    <row r="74" spans="1:18" x14ac:dyDescent="0.35">
      <c r="A74" s="69" t="str">
        <f>IF(TRIM(G74)&lt;&gt;"",COUNTA(G$11:$G74)&amp;"","")</f>
        <v>50</v>
      </c>
      <c r="B74" s="284"/>
      <c r="C74" s="284"/>
      <c r="D74" s="34"/>
      <c r="E74" s="67" t="s">
        <v>144</v>
      </c>
      <c r="F74" s="71">
        <f>F73/1.33+1</f>
        <v>11.533834586466165</v>
      </c>
      <c r="G74" s="63" t="s">
        <v>102</v>
      </c>
      <c r="H74" s="22">
        <v>0</v>
      </c>
      <c r="I74" s="49">
        <f t="shared" ref="I74:I75" si="103">IF(F74=0,"",F74+(F74*H74))</f>
        <v>11.533834586466165</v>
      </c>
      <c r="J74" s="240">
        <f>1.69*24</f>
        <v>40.56</v>
      </c>
      <c r="K74" s="241">
        <f t="shared" ref="K74:K75" si="104">IF(F74=0,"",J74*I74)</f>
        <v>467.81233082706768</v>
      </c>
      <c r="L74" s="242">
        <f t="shared" ref="L74:L75" si="105">IF(F74=0,"",L$34)</f>
        <v>53.82</v>
      </c>
      <c r="M74" s="26">
        <f>24*0.0656</f>
        <v>1.5744000000000002</v>
      </c>
      <c r="N74" s="26">
        <f t="shared" ref="N74:N75" si="106">IF(F74=0,"",M74*I74)</f>
        <v>18.158869172932334</v>
      </c>
      <c r="O74" s="241">
        <f t="shared" ref="O74:O75" si="107">IF(F74=0,"",N74*L74)</f>
        <v>977.31033888721822</v>
      </c>
      <c r="P74" s="243">
        <f t="shared" ref="P74:P75" si="108">IF(F74=0,"",(K74+O74)/I74)</f>
        <v>125.29420800000001</v>
      </c>
      <c r="Q74" s="241">
        <f t="shared" ref="Q74:Q75" si="109">IF(F74=0,"",(P74*I74))</f>
        <v>1445.1226697142858</v>
      </c>
      <c r="R74" s="121"/>
    </row>
    <row r="75" spans="1:18" x14ac:dyDescent="0.35">
      <c r="A75" s="69" t="str">
        <f>IF(TRIM(G75)&lt;&gt;"",COUNTA(G$11:$G75)&amp;"","")</f>
        <v>51</v>
      </c>
      <c r="B75" s="284"/>
      <c r="C75" s="284"/>
      <c r="D75" s="34"/>
      <c r="E75" s="228" t="s">
        <v>145</v>
      </c>
      <c r="F75" s="71">
        <f>F73</f>
        <v>14.01</v>
      </c>
      <c r="G75" s="63" t="s">
        <v>83</v>
      </c>
      <c r="H75" s="22">
        <v>0.1</v>
      </c>
      <c r="I75" s="49">
        <f t="shared" si="103"/>
        <v>15.411</v>
      </c>
      <c r="J75" s="240">
        <v>1.69</v>
      </c>
      <c r="K75" s="241">
        <f t="shared" si="104"/>
        <v>26.044589999999999</v>
      </c>
      <c r="L75" s="242">
        <f t="shared" si="105"/>
        <v>53.82</v>
      </c>
      <c r="M75" s="26">
        <v>6.5600000000000006E-2</v>
      </c>
      <c r="N75" s="26">
        <f t="shared" si="106"/>
        <v>1.0109616000000001</v>
      </c>
      <c r="O75" s="241">
        <f t="shared" si="107"/>
        <v>54.409953312000006</v>
      </c>
      <c r="P75" s="243">
        <f t="shared" si="108"/>
        <v>5.2205919999999999</v>
      </c>
      <c r="Q75" s="241">
        <f t="shared" si="109"/>
        <v>80.454543311999998</v>
      </c>
      <c r="R75" s="121"/>
    </row>
    <row r="76" spans="1:18" x14ac:dyDescent="0.35">
      <c r="A76" s="69" t="str">
        <f>IF(TRIM(G76)&lt;&gt;"",COUNTA(G$11:$G76)&amp;"","")</f>
        <v>52</v>
      </c>
      <c r="B76" s="284"/>
      <c r="C76" s="284"/>
      <c r="D76" s="34"/>
      <c r="E76" s="228" t="s">
        <v>146</v>
      </c>
      <c r="F76" s="71">
        <f>F73</f>
        <v>14.01</v>
      </c>
      <c r="G76" s="63" t="s">
        <v>83</v>
      </c>
      <c r="H76" s="22">
        <v>0.1</v>
      </c>
      <c r="I76" s="49">
        <f t="shared" ref="I76:I83" si="110">IF(F76=0,"",F76+(F76*H76))</f>
        <v>15.411</v>
      </c>
      <c r="J76" s="240">
        <v>1.69</v>
      </c>
      <c r="K76" s="241">
        <f t="shared" ref="K76:K83" si="111">IF(F76=0,"",J76*I76)</f>
        <v>26.044589999999999</v>
      </c>
      <c r="L76" s="242">
        <f t="shared" ref="L76" si="112">IF(F76=0,"",L$34)</f>
        <v>53.82</v>
      </c>
      <c r="M76" s="26">
        <v>6.5600000000000006E-2</v>
      </c>
      <c r="N76" s="26">
        <f t="shared" ref="N76:N83" si="113">IF(F76=0,"",M76*I76)</f>
        <v>1.0109616000000001</v>
      </c>
      <c r="O76" s="241">
        <f t="shared" ref="O76:O83" si="114">IF(F76=0,"",N76*L76)</f>
        <v>54.409953312000006</v>
      </c>
      <c r="P76" s="243">
        <f t="shared" ref="P76:P83" si="115">IF(F76=0,"",(K76+O76)/I76)</f>
        <v>5.2205919999999999</v>
      </c>
      <c r="Q76" s="241">
        <f t="shared" ref="Q76:Q83" si="116">IF(F76=0,"",(P76*I76))</f>
        <v>80.454543311999998</v>
      </c>
      <c r="R76" s="121"/>
    </row>
    <row r="77" spans="1:18" x14ac:dyDescent="0.35">
      <c r="A77" s="69" t="str">
        <f>IF(TRIM(G77)&lt;&gt;"",COUNTA(G$11:$G77)&amp;"","")</f>
        <v>53</v>
      </c>
      <c r="B77" s="284"/>
      <c r="C77" s="284"/>
      <c r="D77" s="34"/>
      <c r="E77" s="228" t="s">
        <v>125</v>
      </c>
      <c r="F77" s="71">
        <f>(F73*13.5)+(F73*8)</f>
        <v>301.21499999999997</v>
      </c>
      <c r="G77" s="63" t="s">
        <v>69</v>
      </c>
      <c r="H77" s="22">
        <v>0.1</v>
      </c>
      <c r="I77" s="49">
        <f t="shared" si="110"/>
        <v>331.3365</v>
      </c>
      <c r="J77" s="240">
        <v>0.62</v>
      </c>
      <c r="K77" s="241">
        <f t="shared" si="111"/>
        <v>205.42863</v>
      </c>
      <c r="L77" s="242">
        <f t="shared" ref="L77" si="117">IF(F77=0,"",L$34)</f>
        <v>53.82</v>
      </c>
      <c r="M77" s="26">
        <v>1.6E-2</v>
      </c>
      <c r="N77" s="26">
        <f t="shared" si="113"/>
        <v>5.3013840000000005</v>
      </c>
      <c r="O77" s="241">
        <f t="shared" si="114"/>
        <v>285.32048688000003</v>
      </c>
      <c r="P77" s="243">
        <f t="shared" si="115"/>
        <v>1.48112</v>
      </c>
      <c r="Q77" s="241">
        <f t="shared" si="116"/>
        <v>490.74911687999997</v>
      </c>
      <c r="R77" s="121"/>
    </row>
    <row r="78" spans="1:18" x14ac:dyDescent="0.35">
      <c r="A78" s="69" t="str">
        <f>IF(TRIM(G78)&lt;&gt;"",COUNTA(G$11:$G78)&amp;"","")</f>
        <v>54</v>
      </c>
      <c r="B78" s="284"/>
      <c r="C78" s="284"/>
      <c r="D78" s="34"/>
      <c r="E78" s="67" t="s">
        <v>126</v>
      </c>
      <c r="F78" s="71">
        <f>(F73*13.5)</f>
        <v>189.13499999999999</v>
      </c>
      <c r="G78" s="63" t="s">
        <v>69</v>
      </c>
      <c r="H78" s="22">
        <v>0.1</v>
      </c>
      <c r="I78" s="49">
        <f t="shared" si="110"/>
        <v>208.04849999999999</v>
      </c>
      <c r="J78" s="240">
        <f>25.39/32</f>
        <v>0.79343750000000002</v>
      </c>
      <c r="K78" s="241">
        <f t="shared" si="111"/>
        <v>165.07348171875</v>
      </c>
      <c r="L78" s="242">
        <f t="shared" ref="L78" si="118">IF(F78=0,"",L$34)</f>
        <v>53.82</v>
      </c>
      <c r="M78" s="26">
        <v>1.6E-2</v>
      </c>
      <c r="N78" s="26">
        <f t="shared" si="113"/>
        <v>3.328776</v>
      </c>
      <c r="O78" s="241">
        <f t="shared" si="114"/>
        <v>179.15472431999999</v>
      </c>
      <c r="P78" s="243">
        <f t="shared" si="115"/>
        <v>1.6545575000000001</v>
      </c>
      <c r="Q78" s="241">
        <f t="shared" si="116"/>
        <v>344.22820603874999</v>
      </c>
      <c r="R78" s="121"/>
    </row>
    <row r="79" spans="1:18" x14ac:dyDescent="0.35">
      <c r="A79" s="69" t="str">
        <f>IF(TRIM(G79)&lt;&gt;"",COUNTA(G$11:$G79)&amp;"","")</f>
        <v>55</v>
      </c>
      <c r="B79" s="284"/>
      <c r="C79" s="284"/>
      <c r="D79" s="34"/>
      <c r="E79" s="228" t="s">
        <v>163</v>
      </c>
      <c r="F79" s="71">
        <f>F73</f>
        <v>14.01</v>
      </c>
      <c r="G79" s="63" t="s">
        <v>83</v>
      </c>
      <c r="H79" s="22">
        <v>0.1</v>
      </c>
      <c r="I79" s="49">
        <f t="shared" si="110"/>
        <v>15.411</v>
      </c>
      <c r="J79" s="240">
        <v>0.85</v>
      </c>
      <c r="K79" s="241">
        <f t="shared" si="111"/>
        <v>13.099349999999999</v>
      </c>
      <c r="L79" s="242">
        <f t="shared" ref="L79:L80" si="119">IF(F79=0,"",L$34)</f>
        <v>53.82</v>
      </c>
      <c r="M79" s="26">
        <v>0.02</v>
      </c>
      <c r="N79" s="26">
        <f t="shared" si="113"/>
        <v>0.30821999999999999</v>
      </c>
      <c r="O79" s="241">
        <f t="shared" si="114"/>
        <v>16.588400400000001</v>
      </c>
      <c r="P79" s="243">
        <f t="shared" si="115"/>
        <v>1.9263999999999999</v>
      </c>
      <c r="Q79" s="241">
        <f t="shared" si="116"/>
        <v>29.687750399999999</v>
      </c>
      <c r="R79" s="121"/>
    </row>
    <row r="80" spans="1:18" x14ac:dyDescent="0.35">
      <c r="A80" s="69" t="str">
        <f>IF(TRIM(G80)&lt;&gt;"",COUNTA(G$11:$G80)&amp;"","")</f>
        <v>56</v>
      </c>
      <c r="B80" s="284"/>
      <c r="C80" s="284"/>
      <c r="D80" s="34"/>
      <c r="E80" s="228" t="s">
        <v>164</v>
      </c>
      <c r="F80" s="71">
        <f>F73</f>
        <v>14.01</v>
      </c>
      <c r="G80" s="63" t="s">
        <v>83</v>
      </c>
      <c r="H80" s="22">
        <v>0.1</v>
      </c>
      <c r="I80" s="49">
        <f t="shared" si="110"/>
        <v>15.411</v>
      </c>
      <c r="J80" s="240">
        <f>26.69/16</f>
        <v>1.6681250000000001</v>
      </c>
      <c r="K80" s="241">
        <f t="shared" si="111"/>
        <v>25.707474375</v>
      </c>
      <c r="L80" s="242">
        <f t="shared" si="119"/>
        <v>53.82</v>
      </c>
      <c r="M80" s="26">
        <v>2.4E-2</v>
      </c>
      <c r="N80" s="26">
        <f t="shared" si="113"/>
        <v>0.36986399999999997</v>
      </c>
      <c r="O80" s="241">
        <f t="shared" si="114"/>
        <v>19.90608048</v>
      </c>
      <c r="P80" s="243">
        <f t="shared" si="115"/>
        <v>2.9598050000000002</v>
      </c>
      <c r="Q80" s="241">
        <f t="shared" si="116"/>
        <v>45.613554855000004</v>
      </c>
      <c r="R80" s="121"/>
    </row>
    <row r="81" spans="1:18" x14ac:dyDescent="0.35">
      <c r="A81" s="69" t="str">
        <f>IF(TRIM(G81)&lt;&gt;"",COUNTA(G$11:$G81)&amp;"","")</f>
        <v>57</v>
      </c>
      <c r="B81" s="284"/>
      <c r="C81" s="284"/>
      <c r="D81" s="34"/>
      <c r="E81" s="228" t="s">
        <v>165</v>
      </c>
      <c r="F81" s="71">
        <f>(F73*14)/2</f>
        <v>98.07</v>
      </c>
      <c r="G81" s="63" t="s">
        <v>83</v>
      </c>
      <c r="H81" s="22">
        <v>0.1</v>
      </c>
      <c r="I81" s="49">
        <f t="shared" si="110"/>
        <v>107.877</v>
      </c>
      <c r="J81" s="240">
        <v>0.85</v>
      </c>
      <c r="K81" s="241">
        <f t="shared" si="111"/>
        <v>91.695449999999994</v>
      </c>
      <c r="L81" s="242">
        <f t="shared" ref="L81:L83" si="120">IF(F81=0,"",L$34)</f>
        <v>53.82</v>
      </c>
      <c r="M81" s="26">
        <v>0.02</v>
      </c>
      <c r="N81" s="26">
        <f t="shared" si="113"/>
        <v>2.15754</v>
      </c>
      <c r="O81" s="241">
        <f t="shared" si="114"/>
        <v>116.1188028</v>
      </c>
      <c r="P81" s="243">
        <f t="shared" si="115"/>
        <v>1.9264000000000001</v>
      </c>
      <c r="Q81" s="241">
        <f t="shared" si="116"/>
        <v>207.81425279999999</v>
      </c>
      <c r="R81" s="121"/>
    </row>
    <row r="82" spans="1:18" x14ac:dyDescent="0.35">
      <c r="A82" s="69" t="str">
        <f>IF(TRIM(G82)&lt;&gt;"",COUNTA(G$11:$G82)&amp;"","")</f>
        <v>58</v>
      </c>
      <c r="B82" s="284"/>
      <c r="C82" s="284"/>
      <c r="D82" s="34"/>
      <c r="E82" s="228" t="s">
        <v>166</v>
      </c>
      <c r="F82" s="71">
        <f>F73</f>
        <v>14.01</v>
      </c>
      <c r="G82" s="63" t="s">
        <v>83</v>
      </c>
      <c r="H82" s="22">
        <v>0.1</v>
      </c>
      <c r="I82" s="49">
        <f t="shared" si="110"/>
        <v>15.411</v>
      </c>
      <c r="J82" s="240">
        <v>2.2999999999999998</v>
      </c>
      <c r="K82" s="241">
        <f t="shared" si="111"/>
        <v>35.445299999999996</v>
      </c>
      <c r="L82" s="242">
        <f t="shared" si="120"/>
        <v>53.82</v>
      </c>
      <c r="M82" s="26">
        <v>2.5999999999999999E-2</v>
      </c>
      <c r="N82" s="26">
        <f t="shared" si="113"/>
        <v>0.40068599999999999</v>
      </c>
      <c r="O82" s="241">
        <f t="shared" si="114"/>
        <v>21.564920520000001</v>
      </c>
      <c r="P82" s="243">
        <f t="shared" si="115"/>
        <v>3.6993199999999997</v>
      </c>
      <c r="Q82" s="241">
        <f t="shared" si="116"/>
        <v>57.010220519999997</v>
      </c>
      <c r="R82" s="121"/>
    </row>
    <row r="83" spans="1:18" x14ac:dyDescent="0.35">
      <c r="A83" s="69" t="str">
        <f>IF(TRIM(G83)&lt;&gt;"",COUNTA(G$11:$G83)&amp;"","")</f>
        <v>59</v>
      </c>
      <c r="B83" s="284"/>
      <c r="C83" s="284"/>
      <c r="D83" s="34"/>
      <c r="E83" s="67" t="s">
        <v>108</v>
      </c>
      <c r="F83" s="71">
        <f>F73*4</f>
        <v>56.04</v>
      </c>
      <c r="G83" s="63" t="s">
        <v>83</v>
      </c>
      <c r="H83" s="22">
        <v>0.1</v>
      </c>
      <c r="I83" s="49">
        <f t="shared" si="110"/>
        <v>61.643999999999998</v>
      </c>
      <c r="J83" s="240">
        <v>0.2</v>
      </c>
      <c r="K83" s="241">
        <f t="shared" si="111"/>
        <v>12.328800000000001</v>
      </c>
      <c r="L83" s="242">
        <f t="shared" si="120"/>
        <v>53.82</v>
      </c>
      <c r="M83" s="26">
        <v>1.6E-2</v>
      </c>
      <c r="N83" s="26">
        <f t="shared" si="113"/>
        <v>0.98630399999999996</v>
      </c>
      <c r="O83" s="241">
        <f t="shared" si="114"/>
        <v>53.082881279999995</v>
      </c>
      <c r="P83" s="243">
        <f t="shared" si="115"/>
        <v>1.0611200000000001</v>
      </c>
      <c r="Q83" s="241">
        <f t="shared" si="116"/>
        <v>65.411681279999996</v>
      </c>
      <c r="R83" s="121"/>
    </row>
    <row r="84" spans="1:18" x14ac:dyDescent="0.35">
      <c r="A84" s="69" t="str">
        <f>IF(TRIM(G84)&lt;&gt;"",COUNTA(G$11:$G349)&amp;"","")</f>
        <v/>
      </c>
      <c r="B84" s="284"/>
      <c r="C84" s="284"/>
      <c r="D84" s="34"/>
      <c r="E84" s="67"/>
      <c r="F84" s="71"/>
      <c r="G84" s="63"/>
      <c r="H84" s="22"/>
      <c r="I84" s="49"/>
      <c r="J84" s="23"/>
      <c r="K84" s="24"/>
      <c r="L84" s="25"/>
      <c r="M84" s="26"/>
      <c r="N84" s="26"/>
      <c r="O84" s="24"/>
      <c r="P84" s="27"/>
      <c r="Q84" s="24"/>
      <c r="R84" s="121"/>
    </row>
    <row r="85" spans="1:18" x14ac:dyDescent="0.35">
      <c r="A85" s="69" t="str">
        <f>IF(TRIM(G85)&lt;&gt;"",COUNTA(G$11:$G85)&amp;"","")</f>
        <v>60</v>
      </c>
      <c r="B85" s="284"/>
      <c r="C85" s="284"/>
      <c r="D85" s="34"/>
      <c r="E85" s="233" t="s">
        <v>139</v>
      </c>
      <c r="F85" s="234">
        <v>43.09</v>
      </c>
      <c r="G85" s="238" t="s">
        <v>83</v>
      </c>
      <c r="H85" s="22"/>
      <c r="I85" s="49"/>
      <c r="J85" s="23"/>
      <c r="K85" s="24"/>
      <c r="L85" s="25"/>
      <c r="M85" s="26"/>
      <c r="N85" s="26"/>
      <c r="O85" s="24"/>
      <c r="P85" s="27"/>
      <c r="Q85" s="24"/>
      <c r="R85" s="121"/>
    </row>
    <row r="86" spans="1:18" x14ac:dyDescent="0.35">
      <c r="A86" s="69" t="str">
        <f>IF(TRIM(G86)&lt;&gt;"",COUNTA(G$11:$G86)&amp;"","")</f>
        <v>61</v>
      </c>
      <c r="B86" s="284"/>
      <c r="C86" s="284"/>
      <c r="D86" s="34"/>
      <c r="E86" s="67" t="s">
        <v>144</v>
      </c>
      <c r="F86" s="71">
        <f>F85/1.33+1</f>
        <v>33.398496240601503</v>
      </c>
      <c r="G86" s="63" t="s">
        <v>102</v>
      </c>
      <c r="H86" s="22">
        <v>0</v>
      </c>
      <c r="I86" s="49">
        <f t="shared" ref="I86:I87" si="121">IF(F86=0,"",F86+(F86*H86))</f>
        <v>33.398496240601503</v>
      </c>
      <c r="J86" s="240">
        <f>1.69*24</f>
        <v>40.56</v>
      </c>
      <c r="K86" s="241">
        <f t="shared" ref="K86:K87" si="122">IF(F86=0,"",J86*I86)</f>
        <v>1354.643007518797</v>
      </c>
      <c r="L86" s="242">
        <f t="shared" ref="L86:L87" si="123">IF(F86=0,"",L$34)</f>
        <v>53.82</v>
      </c>
      <c r="M86" s="26">
        <f>24*0.0656</f>
        <v>1.5744000000000002</v>
      </c>
      <c r="N86" s="26">
        <f t="shared" ref="N86:N87" si="124">IF(F86=0,"",M86*I86)</f>
        <v>52.582592481203015</v>
      </c>
      <c r="O86" s="241">
        <f t="shared" ref="O86:O87" si="125">IF(F86=0,"",N86*L86)</f>
        <v>2829.9951273383463</v>
      </c>
      <c r="P86" s="243">
        <f t="shared" ref="P86:P87" si="126">IF(F86=0,"",(K86+O86)/I86)</f>
        <v>125.29420800000001</v>
      </c>
      <c r="Q86" s="241">
        <f t="shared" ref="Q86:Q87" si="127">IF(F86=0,"",(P86*I86))</f>
        <v>4184.6381348571431</v>
      </c>
      <c r="R86" s="121"/>
    </row>
    <row r="87" spans="1:18" x14ac:dyDescent="0.35">
      <c r="A87" s="69" t="str">
        <f>IF(TRIM(G87)&lt;&gt;"",COUNTA(G$11:$G87)&amp;"","")</f>
        <v>62</v>
      </c>
      <c r="B87" s="284"/>
      <c r="C87" s="284"/>
      <c r="D87" s="34"/>
      <c r="E87" s="228" t="s">
        <v>145</v>
      </c>
      <c r="F87" s="71">
        <f>F85</f>
        <v>43.09</v>
      </c>
      <c r="G87" s="63" t="s">
        <v>83</v>
      </c>
      <c r="H87" s="22">
        <v>0.1</v>
      </c>
      <c r="I87" s="49">
        <f t="shared" si="121"/>
        <v>47.399000000000001</v>
      </c>
      <c r="J87" s="240">
        <v>1.69</v>
      </c>
      <c r="K87" s="241">
        <f t="shared" si="122"/>
        <v>80.104309999999998</v>
      </c>
      <c r="L87" s="242">
        <f t="shared" si="123"/>
        <v>53.82</v>
      </c>
      <c r="M87" s="26">
        <v>6.5600000000000006E-2</v>
      </c>
      <c r="N87" s="26">
        <f t="shared" si="124"/>
        <v>3.1093744000000005</v>
      </c>
      <c r="O87" s="241">
        <f t="shared" si="125"/>
        <v>167.34653020800002</v>
      </c>
      <c r="P87" s="243">
        <f t="shared" si="126"/>
        <v>5.2205919999999999</v>
      </c>
      <c r="Q87" s="241">
        <f t="shared" si="127"/>
        <v>247.45084020799999</v>
      </c>
      <c r="R87" s="121"/>
    </row>
    <row r="88" spans="1:18" x14ac:dyDescent="0.35">
      <c r="A88" s="69" t="str">
        <f>IF(TRIM(G88)&lt;&gt;"",COUNTA(G$11:$G88)&amp;"","")</f>
        <v>63</v>
      </c>
      <c r="B88" s="284"/>
      <c r="C88" s="284"/>
      <c r="D88" s="34"/>
      <c r="E88" s="228" t="s">
        <v>146</v>
      </c>
      <c r="F88" s="71">
        <f>F85</f>
        <v>43.09</v>
      </c>
      <c r="G88" s="63" t="s">
        <v>83</v>
      </c>
      <c r="H88" s="22">
        <v>0.1</v>
      </c>
      <c r="I88" s="49">
        <f t="shared" ref="I88:I89" si="128">IF(F88=0,"",F88+(F88*H88))</f>
        <v>47.399000000000001</v>
      </c>
      <c r="J88" s="240">
        <v>1.69</v>
      </c>
      <c r="K88" s="241">
        <f t="shared" ref="K88:K89" si="129">IF(F88=0,"",J88*I88)</f>
        <v>80.104309999999998</v>
      </c>
      <c r="L88" s="242">
        <f t="shared" ref="L88" si="130">IF(F88=0,"",L$34)</f>
        <v>53.82</v>
      </c>
      <c r="M88" s="26">
        <v>6.5600000000000006E-2</v>
      </c>
      <c r="N88" s="26">
        <f t="shared" ref="N88:N89" si="131">IF(F88=0,"",M88*I88)</f>
        <v>3.1093744000000005</v>
      </c>
      <c r="O88" s="241">
        <f t="shared" ref="O88:O89" si="132">IF(F88=0,"",N88*L88)</f>
        <v>167.34653020800002</v>
      </c>
      <c r="P88" s="243">
        <f t="shared" ref="P88:P89" si="133">IF(F88=0,"",(K88+O88)/I88)</f>
        <v>5.2205919999999999</v>
      </c>
      <c r="Q88" s="241">
        <f t="shared" ref="Q88:Q89" si="134">IF(F88=0,"",(P88*I88))</f>
        <v>247.45084020799999</v>
      </c>
      <c r="R88" s="121"/>
    </row>
    <row r="89" spans="1:18" x14ac:dyDescent="0.35">
      <c r="A89" s="69" t="str">
        <f>IF(TRIM(G89)&lt;&gt;"",COUNTA(G$11:$G89)&amp;"","")</f>
        <v>64</v>
      </c>
      <c r="B89" s="284"/>
      <c r="C89" s="284"/>
      <c r="D89" s="34"/>
      <c r="E89" s="228" t="s">
        <v>125</v>
      </c>
      <c r="F89" s="71">
        <f>(F85*24)+(F85*13.5)</f>
        <v>1615.875</v>
      </c>
      <c r="G89" s="63" t="s">
        <v>69</v>
      </c>
      <c r="H89" s="22">
        <v>0.1</v>
      </c>
      <c r="I89" s="49">
        <f t="shared" si="128"/>
        <v>1777.4625000000001</v>
      </c>
      <c r="J89" s="240">
        <v>0.62</v>
      </c>
      <c r="K89" s="241">
        <f t="shared" si="129"/>
        <v>1102.02675</v>
      </c>
      <c r="L89" s="242">
        <f t="shared" ref="L89" si="135">IF(F89=0,"",L$34)</f>
        <v>53.82</v>
      </c>
      <c r="M89" s="26">
        <v>1.6E-2</v>
      </c>
      <c r="N89" s="26">
        <f t="shared" si="131"/>
        <v>28.439400000000003</v>
      </c>
      <c r="O89" s="241">
        <f t="shared" si="132"/>
        <v>1530.6085080000003</v>
      </c>
      <c r="P89" s="243">
        <f t="shared" si="133"/>
        <v>1.48112</v>
      </c>
      <c r="Q89" s="241">
        <f t="shared" si="134"/>
        <v>2632.6352580000002</v>
      </c>
      <c r="R89" s="121"/>
    </row>
    <row r="90" spans="1:18" x14ac:dyDescent="0.35">
      <c r="A90" s="69" t="str">
        <f>IF(TRIM(G90)&lt;&gt;"",COUNTA(G$11:$G90)&amp;"","")</f>
        <v>65</v>
      </c>
      <c r="B90" s="284"/>
      <c r="C90" s="284"/>
      <c r="D90" s="34"/>
      <c r="E90" s="67" t="s">
        <v>126</v>
      </c>
      <c r="F90" s="71">
        <f>(F85*13.5)</f>
        <v>581.71500000000003</v>
      </c>
      <c r="G90" s="63" t="s">
        <v>69</v>
      </c>
      <c r="H90" s="22">
        <v>0.1</v>
      </c>
      <c r="I90" s="49">
        <f t="shared" ref="I90:I96" si="136">IF(F90=0,"",F90+(F90*H90))</f>
        <v>639.88650000000007</v>
      </c>
      <c r="J90" s="240">
        <f>25.39/32</f>
        <v>0.79343750000000002</v>
      </c>
      <c r="K90" s="241">
        <f t="shared" ref="K90:K96" si="137">IF(F90=0,"",J90*I90)</f>
        <v>507.70994484375007</v>
      </c>
      <c r="L90" s="242">
        <f t="shared" ref="L90" si="138">IF(F90=0,"",L$34)</f>
        <v>53.82</v>
      </c>
      <c r="M90" s="26">
        <v>1.6E-2</v>
      </c>
      <c r="N90" s="26">
        <f t="shared" ref="N90:N96" si="139">IF(F90=0,"",M90*I90)</f>
        <v>10.238184000000002</v>
      </c>
      <c r="O90" s="241">
        <f t="shared" ref="O90:O96" si="140">IF(F90=0,"",N90*L90)</f>
        <v>551.01906288000009</v>
      </c>
      <c r="P90" s="243">
        <f t="shared" ref="P90:P96" si="141">IF(F90=0,"",(K90+O90)/I90)</f>
        <v>1.6545574999999999</v>
      </c>
      <c r="Q90" s="241">
        <f t="shared" ref="Q90:Q96" si="142">IF(F90=0,"",(P90*I90))</f>
        <v>1058.7290077237501</v>
      </c>
      <c r="R90" s="121"/>
    </row>
    <row r="91" spans="1:18" x14ac:dyDescent="0.35">
      <c r="A91" s="69" t="str">
        <f>IF(TRIM(G91)&lt;&gt;"",COUNTA(G$11:$G91)&amp;"","")</f>
        <v>66</v>
      </c>
      <c r="B91" s="284"/>
      <c r="C91" s="284"/>
      <c r="D91" s="34"/>
      <c r="E91" s="228" t="s">
        <v>163</v>
      </c>
      <c r="F91" s="71">
        <f>F85</f>
        <v>43.09</v>
      </c>
      <c r="G91" s="63" t="s">
        <v>83</v>
      </c>
      <c r="H91" s="22">
        <v>0.1</v>
      </c>
      <c r="I91" s="49">
        <f t="shared" si="136"/>
        <v>47.399000000000001</v>
      </c>
      <c r="J91" s="240">
        <v>0.85</v>
      </c>
      <c r="K91" s="241">
        <f t="shared" si="137"/>
        <v>40.289149999999999</v>
      </c>
      <c r="L91" s="242">
        <f t="shared" ref="L91:L92" si="143">IF(F91=0,"",L$34)</f>
        <v>53.82</v>
      </c>
      <c r="M91" s="26">
        <v>0.02</v>
      </c>
      <c r="N91" s="26">
        <f t="shared" si="139"/>
        <v>0.94798000000000004</v>
      </c>
      <c r="O91" s="241">
        <f t="shared" si="140"/>
        <v>51.020283600000006</v>
      </c>
      <c r="P91" s="243">
        <f t="shared" si="141"/>
        <v>1.9264000000000001</v>
      </c>
      <c r="Q91" s="241">
        <f t="shared" si="142"/>
        <v>91.309433600000006</v>
      </c>
      <c r="R91" s="121"/>
    </row>
    <row r="92" spans="1:18" x14ac:dyDescent="0.35">
      <c r="A92" s="69" t="str">
        <f>IF(TRIM(G92)&lt;&gt;"",COUNTA(G$11:$G92)&amp;"","")</f>
        <v>67</v>
      </c>
      <c r="B92" s="284"/>
      <c r="C92" s="284"/>
      <c r="D92" s="34"/>
      <c r="E92" s="228" t="s">
        <v>164</v>
      </c>
      <c r="F92" s="71">
        <f>F85</f>
        <v>43.09</v>
      </c>
      <c r="G92" s="63" t="s">
        <v>83</v>
      </c>
      <c r="H92" s="22">
        <v>0.1</v>
      </c>
      <c r="I92" s="49">
        <f t="shared" si="136"/>
        <v>47.399000000000001</v>
      </c>
      <c r="J92" s="240">
        <f>26.69/16</f>
        <v>1.6681250000000001</v>
      </c>
      <c r="K92" s="241">
        <f t="shared" si="137"/>
        <v>79.067456875000005</v>
      </c>
      <c r="L92" s="242">
        <f t="shared" si="143"/>
        <v>53.82</v>
      </c>
      <c r="M92" s="26">
        <v>2.4E-2</v>
      </c>
      <c r="N92" s="26">
        <f t="shared" si="139"/>
        <v>1.1375760000000001</v>
      </c>
      <c r="O92" s="241">
        <f t="shared" si="140"/>
        <v>61.22434032000001</v>
      </c>
      <c r="P92" s="243">
        <f t="shared" si="141"/>
        <v>2.9598050000000002</v>
      </c>
      <c r="Q92" s="241">
        <f t="shared" si="142"/>
        <v>140.29179719500002</v>
      </c>
      <c r="R92" s="121"/>
    </row>
    <row r="93" spans="1:18" x14ac:dyDescent="0.35">
      <c r="A93" s="69" t="str">
        <f>IF(TRIM(G93)&lt;&gt;"",COUNTA(G$11:$G93)&amp;"","")</f>
        <v>68</v>
      </c>
      <c r="B93" s="284"/>
      <c r="C93" s="284"/>
      <c r="D93" s="34"/>
      <c r="E93" s="228" t="s">
        <v>165</v>
      </c>
      <c r="F93" s="71">
        <f>(F85*14)/2</f>
        <v>301.63</v>
      </c>
      <c r="G93" s="63" t="s">
        <v>83</v>
      </c>
      <c r="H93" s="22">
        <v>0.1</v>
      </c>
      <c r="I93" s="49">
        <f t="shared" si="136"/>
        <v>331.79300000000001</v>
      </c>
      <c r="J93" s="240">
        <v>0.85</v>
      </c>
      <c r="K93" s="241">
        <f t="shared" si="137"/>
        <v>282.02404999999999</v>
      </c>
      <c r="L93" s="242">
        <f t="shared" ref="L93:L96" si="144">IF(F93=0,"",L$34)</f>
        <v>53.82</v>
      </c>
      <c r="M93" s="26">
        <v>0.02</v>
      </c>
      <c r="N93" s="26">
        <f t="shared" si="139"/>
        <v>6.6358600000000001</v>
      </c>
      <c r="O93" s="241">
        <f t="shared" si="140"/>
        <v>357.14198520000002</v>
      </c>
      <c r="P93" s="243">
        <f t="shared" si="141"/>
        <v>1.9263999999999999</v>
      </c>
      <c r="Q93" s="241">
        <f t="shared" si="142"/>
        <v>639.16603520000001</v>
      </c>
      <c r="R93" s="121"/>
    </row>
    <row r="94" spans="1:18" x14ac:dyDescent="0.35">
      <c r="A94" s="69" t="str">
        <f>IF(TRIM(G94)&lt;&gt;"",COUNTA(G$11:$G94)&amp;"","")</f>
        <v>69</v>
      </c>
      <c r="B94" s="284"/>
      <c r="C94" s="284"/>
      <c r="D94" s="34"/>
      <c r="E94" s="228" t="s">
        <v>166</v>
      </c>
      <c r="F94" s="71">
        <f>F85</f>
        <v>43.09</v>
      </c>
      <c r="G94" s="63" t="s">
        <v>83</v>
      </c>
      <c r="H94" s="22">
        <v>0.1</v>
      </c>
      <c r="I94" s="49">
        <f t="shared" si="136"/>
        <v>47.399000000000001</v>
      </c>
      <c r="J94" s="240">
        <v>2.2999999999999998</v>
      </c>
      <c r="K94" s="241">
        <f t="shared" si="137"/>
        <v>109.01769999999999</v>
      </c>
      <c r="L94" s="242">
        <f t="shared" si="144"/>
        <v>53.82</v>
      </c>
      <c r="M94" s="26">
        <v>2.5999999999999999E-2</v>
      </c>
      <c r="N94" s="26">
        <f t="shared" si="139"/>
        <v>1.2323739999999999</v>
      </c>
      <c r="O94" s="241">
        <f t="shared" si="140"/>
        <v>66.326368679999987</v>
      </c>
      <c r="P94" s="243">
        <f t="shared" si="141"/>
        <v>3.6993199999999993</v>
      </c>
      <c r="Q94" s="241">
        <f t="shared" si="142"/>
        <v>175.34406867999996</v>
      </c>
      <c r="R94" s="121"/>
    </row>
    <row r="95" spans="1:18" x14ac:dyDescent="0.35">
      <c r="A95" s="69" t="str">
        <f>IF(TRIM(G95)&lt;&gt;"",COUNTA(G$11:$G95)&amp;"","")</f>
        <v>70</v>
      </c>
      <c r="B95" s="284"/>
      <c r="C95" s="284"/>
      <c r="D95" s="34"/>
      <c r="E95" s="67" t="s">
        <v>167</v>
      </c>
      <c r="F95" s="71">
        <f>F85*24</f>
        <v>1034.1600000000001</v>
      </c>
      <c r="G95" s="63" t="s">
        <v>69</v>
      </c>
      <c r="H95" s="22">
        <v>0.1</v>
      </c>
      <c r="I95" s="49">
        <f t="shared" si="136"/>
        <v>1137.576</v>
      </c>
      <c r="J95" s="240">
        <v>0.69</v>
      </c>
      <c r="K95" s="241">
        <f t="shared" si="137"/>
        <v>784.92743999999993</v>
      </c>
      <c r="L95" s="242">
        <f t="shared" si="144"/>
        <v>53.82</v>
      </c>
      <c r="M95" s="26">
        <v>1.2E-2</v>
      </c>
      <c r="N95" s="26">
        <f t="shared" si="139"/>
        <v>13.650912</v>
      </c>
      <c r="O95" s="241">
        <f t="shared" si="140"/>
        <v>734.69208384000001</v>
      </c>
      <c r="P95" s="243">
        <f t="shared" si="141"/>
        <v>1.3358399999999999</v>
      </c>
      <c r="Q95" s="241">
        <f t="shared" si="142"/>
        <v>1519.6195238399998</v>
      </c>
      <c r="R95" s="121"/>
    </row>
    <row r="96" spans="1:18" x14ac:dyDescent="0.35">
      <c r="A96" s="69" t="str">
        <f>IF(TRIM(G96)&lt;&gt;"",COUNTA(G$11:$G96)&amp;"","")</f>
        <v>71</v>
      </c>
      <c r="B96" s="284"/>
      <c r="C96" s="284"/>
      <c r="D96" s="34"/>
      <c r="E96" s="67" t="s">
        <v>108</v>
      </c>
      <c r="F96" s="71">
        <f>F85*4</f>
        <v>172.36</v>
      </c>
      <c r="G96" s="63" t="s">
        <v>83</v>
      </c>
      <c r="H96" s="22">
        <v>0.1</v>
      </c>
      <c r="I96" s="49">
        <f t="shared" si="136"/>
        <v>189.596</v>
      </c>
      <c r="J96" s="240">
        <v>0.2</v>
      </c>
      <c r="K96" s="241">
        <f t="shared" si="137"/>
        <v>37.919200000000004</v>
      </c>
      <c r="L96" s="242">
        <f t="shared" si="144"/>
        <v>53.82</v>
      </c>
      <c r="M96" s="26">
        <v>1.6E-2</v>
      </c>
      <c r="N96" s="26">
        <f t="shared" si="139"/>
        <v>3.0335360000000002</v>
      </c>
      <c r="O96" s="241">
        <f t="shared" si="140"/>
        <v>163.26490752000001</v>
      </c>
      <c r="P96" s="243">
        <f t="shared" si="141"/>
        <v>1.0611200000000001</v>
      </c>
      <c r="Q96" s="241">
        <f t="shared" si="142"/>
        <v>201.18410752000003</v>
      </c>
      <c r="R96" s="121"/>
    </row>
    <row r="97" spans="1:18" x14ac:dyDescent="0.35">
      <c r="A97" s="69" t="str">
        <f>IF(TRIM(G97)&lt;&gt;"",COUNTA(G$11:$G97)&amp;"","")</f>
        <v/>
      </c>
      <c r="B97" s="284"/>
      <c r="C97" s="284"/>
      <c r="D97" s="34"/>
      <c r="E97" s="67"/>
      <c r="F97" s="71"/>
      <c r="G97" s="63"/>
      <c r="H97" s="22"/>
      <c r="I97" s="49"/>
      <c r="J97" s="23"/>
      <c r="K97" s="24"/>
      <c r="L97" s="25"/>
      <c r="M97" s="26"/>
      <c r="N97" s="26"/>
      <c r="O97" s="24"/>
      <c r="P97" s="27"/>
      <c r="Q97" s="24"/>
      <c r="R97" s="121"/>
    </row>
    <row r="98" spans="1:18" x14ac:dyDescent="0.35">
      <c r="A98" s="69" t="str">
        <f>IF(TRIM(G98)&lt;&gt;"",COUNTA(G$11:$G98)&amp;"","")</f>
        <v>72</v>
      </c>
      <c r="B98" s="284"/>
      <c r="C98" s="284"/>
      <c r="D98" s="34"/>
      <c r="E98" s="233" t="s">
        <v>140</v>
      </c>
      <c r="F98" s="234">
        <v>13.69</v>
      </c>
      <c r="G98" s="238" t="s">
        <v>83</v>
      </c>
      <c r="H98" s="22"/>
      <c r="I98" s="49"/>
      <c r="J98" s="23"/>
      <c r="K98" s="24"/>
      <c r="L98" s="25"/>
      <c r="M98" s="26"/>
      <c r="N98" s="26"/>
      <c r="O98" s="24"/>
      <c r="P98" s="27"/>
      <c r="Q98" s="24"/>
      <c r="R98" s="121"/>
    </row>
    <row r="99" spans="1:18" x14ac:dyDescent="0.35">
      <c r="A99" s="69" t="str">
        <f>IF(TRIM(G99)&lt;&gt;"",COUNTA(G$11:$G99)&amp;"","")</f>
        <v>73</v>
      </c>
      <c r="B99" s="284"/>
      <c r="C99" s="284"/>
      <c r="D99" s="34"/>
      <c r="E99" s="67" t="s">
        <v>144</v>
      </c>
      <c r="F99" s="71">
        <f>F98/1.33+1</f>
        <v>11.293233082706767</v>
      </c>
      <c r="G99" s="63" t="s">
        <v>102</v>
      </c>
      <c r="H99" s="22">
        <v>0</v>
      </c>
      <c r="I99" s="49">
        <f t="shared" ref="I99:I100" si="145">IF(F99=0,"",F99+(F99*H99))</f>
        <v>11.293233082706767</v>
      </c>
      <c r="J99" s="240">
        <f>1.69*24</f>
        <v>40.56</v>
      </c>
      <c r="K99" s="241">
        <f t="shared" ref="K99:K100" si="146">IF(F99=0,"",J99*I99)</f>
        <v>458.05353383458646</v>
      </c>
      <c r="L99" s="242">
        <f t="shared" ref="L99:L100" si="147">IF(F99=0,"",L$34)</f>
        <v>53.82</v>
      </c>
      <c r="M99" s="26">
        <f>24*0.0656</f>
        <v>1.5744000000000002</v>
      </c>
      <c r="N99" s="26">
        <f t="shared" ref="N99:N100" si="148">IF(F99=0,"",M99*I99)</f>
        <v>17.780066165413537</v>
      </c>
      <c r="O99" s="241">
        <f t="shared" ref="O99:O100" si="149">IF(F99=0,"",N99*L99)</f>
        <v>956.92316102255654</v>
      </c>
      <c r="P99" s="243">
        <f t="shared" ref="P99:P100" si="150">IF(F99=0,"",(K99+O99)/I99)</f>
        <v>125.29420800000001</v>
      </c>
      <c r="Q99" s="241">
        <f t="shared" ref="Q99:Q100" si="151">IF(F99=0,"",(P99*I99))</f>
        <v>1414.976694857143</v>
      </c>
      <c r="R99" s="121"/>
    </row>
    <row r="100" spans="1:18" x14ac:dyDescent="0.35">
      <c r="A100" s="69" t="str">
        <f>IF(TRIM(G100)&lt;&gt;"",COUNTA(G$11:$G100)&amp;"","")</f>
        <v>74</v>
      </c>
      <c r="B100" s="284"/>
      <c r="C100" s="284"/>
      <c r="D100" s="34"/>
      <c r="E100" s="228" t="s">
        <v>145</v>
      </c>
      <c r="F100" s="71">
        <f>F98</f>
        <v>13.69</v>
      </c>
      <c r="G100" s="63" t="s">
        <v>83</v>
      </c>
      <c r="H100" s="22">
        <v>0.1</v>
      </c>
      <c r="I100" s="49">
        <f t="shared" si="145"/>
        <v>15.058999999999999</v>
      </c>
      <c r="J100" s="240">
        <v>1.69</v>
      </c>
      <c r="K100" s="241">
        <f t="shared" si="146"/>
        <v>25.44971</v>
      </c>
      <c r="L100" s="242">
        <f t="shared" si="147"/>
        <v>53.82</v>
      </c>
      <c r="M100" s="26">
        <v>6.5600000000000006E-2</v>
      </c>
      <c r="N100" s="26">
        <f t="shared" si="148"/>
        <v>0.98787040000000004</v>
      </c>
      <c r="O100" s="241">
        <f t="shared" si="149"/>
        <v>53.167184928000005</v>
      </c>
      <c r="P100" s="243">
        <f t="shared" si="150"/>
        <v>5.2205920000000008</v>
      </c>
      <c r="Q100" s="241">
        <f t="shared" si="151"/>
        <v>78.616894928000008</v>
      </c>
      <c r="R100" s="121"/>
    </row>
    <row r="101" spans="1:18" x14ac:dyDescent="0.35">
      <c r="A101" s="69" t="str">
        <f>IF(TRIM(G101)&lt;&gt;"",COUNTA(G$11:$G101)&amp;"","")</f>
        <v>75</v>
      </c>
      <c r="B101" s="284"/>
      <c r="C101" s="284"/>
      <c r="D101" s="34"/>
      <c r="E101" s="228" t="s">
        <v>146</v>
      </c>
      <c r="F101" s="71">
        <f>F98</f>
        <v>13.69</v>
      </c>
      <c r="G101" s="63" t="s">
        <v>83</v>
      </c>
      <c r="H101" s="22">
        <v>0.1</v>
      </c>
      <c r="I101" s="49">
        <f t="shared" ref="I101:I109" si="152">IF(F101=0,"",F101+(F101*H101))</f>
        <v>15.058999999999999</v>
      </c>
      <c r="J101" s="240">
        <v>1.69</v>
      </c>
      <c r="K101" s="241">
        <f t="shared" ref="K101:K109" si="153">IF(F101=0,"",J101*I101)</f>
        <v>25.44971</v>
      </c>
      <c r="L101" s="242">
        <f t="shared" ref="L101" si="154">IF(F101=0,"",L$34)</f>
        <v>53.82</v>
      </c>
      <c r="M101" s="26">
        <v>6.5600000000000006E-2</v>
      </c>
      <c r="N101" s="26">
        <f t="shared" ref="N101:N109" si="155">IF(F101=0,"",M101*I101)</f>
        <v>0.98787040000000004</v>
      </c>
      <c r="O101" s="241">
        <f t="shared" ref="O101:O109" si="156">IF(F101=0,"",N101*L101)</f>
        <v>53.167184928000005</v>
      </c>
      <c r="P101" s="243">
        <f t="shared" ref="P101:P109" si="157">IF(F101=0,"",(K101+O101)/I101)</f>
        <v>5.2205920000000008</v>
      </c>
      <c r="Q101" s="241">
        <f t="shared" ref="Q101:Q109" si="158">IF(F101=0,"",(P101*I101))</f>
        <v>78.616894928000008</v>
      </c>
      <c r="R101" s="121"/>
    </row>
    <row r="102" spans="1:18" x14ac:dyDescent="0.35">
      <c r="A102" s="69" t="str">
        <f>IF(TRIM(G102)&lt;&gt;"",COUNTA(G$11:$G102)&amp;"","")</f>
        <v>76</v>
      </c>
      <c r="B102" s="284"/>
      <c r="C102" s="284"/>
      <c r="D102" s="34"/>
      <c r="E102" s="228" t="s">
        <v>125</v>
      </c>
      <c r="F102" s="71">
        <f>(F98*13.5)+(F98*8.5)</f>
        <v>301.18</v>
      </c>
      <c r="G102" s="63" t="s">
        <v>69</v>
      </c>
      <c r="H102" s="22">
        <v>0.1</v>
      </c>
      <c r="I102" s="49">
        <f t="shared" si="152"/>
        <v>331.298</v>
      </c>
      <c r="J102" s="240">
        <v>0.62</v>
      </c>
      <c r="K102" s="241">
        <f t="shared" si="153"/>
        <v>205.40476000000001</v>
      </c>
      <c r="L102" s="242">
        <f t="shared" ref="L102" si="159">IF(F102=0,"",L$34)</f>
        <v>53.82</v>
      </c>
      <c r="M102" s="26">
        <v>1.6E-2</v>
      </c>
      <c r="N102" s="26">
        <f t="shared" si="155"/>
        <v>5.3007679999999997</v>
      </c>
      <c r="O102" s="241">
        <f t="shared" si="156"/>
        <v>285.28733375999997</v>
      </c>
      <c r="P102" s="243">
        <f t="shared" si="157"/>
        <v>1.48112</v>
      </c>
      <c r="Q102" s="241">
        <f t="shared" si="158"/>
        <v>490.69209375999998</v>
      </c>
      <c r="R102" s="121"/>
    </row>
    <row r="103" spans="1:18" x14ac:dyDescent="0.35">
      <c r="A103" s="69" t="str">
        <f>IF(TRIM(G103)&lt;&gt;"",COUNTA(G$11:$G103)&amp;"","")</f>
        <v>77</v>
      </c>
      <c r="B103" s="284"/>
      <c r="C103" s="284"/>
      <c r="D103" s="34"/>
      <c r="E103" s="67" t="s">
        <v>126</v>
      </c>
      <c r="F103" s="71">
        <f>(F98*13.5)</f>
        <v>184.815</v>
      </c>
      <c r="G103" s="63" t="s">
        <v>69</v>
      </c>
      <c r="H103" s="22">
        <v>0.1</v>
      </c>
      <c r="I103" s="49">
        <f t="shared" si="152"/>
        <v>203.29650000000001</v>
      </c>
      <c r="J103" s="240">
        <f>25.39/32</f>
        <v>0.79343750000000002</v>
      </c>
      <c r="K103" s="241">
        <f t="shared" si="153"/>
        <v>161.30306671875002</v>
      </c>
      <c r="L103" s="242">
        <f t="shared" ref="L103" si="160">IF(F103=0,"",L$34)</f>
        <v>53.82</v>
      </c>
      <c r="M103" s="26">
        <v>1.6E-2</v>
      </c>
      <c r="N103" s="26">
        <f t="shared" si="155"/>
        <v>3.2527440000000003</v>
      </c>
      <c r="O103" s="241">
        <f t="shared" si="156"/>
        <v>175.06268208000003</v>
      </c>
      <c r="P103" s="243">
        <f t="shared" si="157"/>
        <v>1.6545575000000001</v>
      </c>
      <c r="Q103" s="241">
        <f t="shared" si="158"/>
        <v>336.36574879875002</v>
      </c>
      <c r="R103" s="121"/>
    </row>
    <row r="104" spans="1:18" x14ac:dyDescent="0.35">
      <c r="A104" s="69" t="str">
        <f>IF(TRIM(G104)&lt;&gt;"",COUNTA(G$11:$G104)&amp;"","")</f>
        <v>78</v>
      </c>
      <c r="B104" s="284"/>
      <c r="C104" s="284"/>
      <c r="D104" s="34"/>
      <c r="E104" s="228" t="s">
        <v>163</v>
      </c>
      <c r="F104" s="71">
        <f>F98</f>
        <v>13.69</v>
      </c>
      <c r="G104" s="63" t="s">
        <v>83</v>
      </c>
      <c r="H104" s="22">
        <v>0.1</v>
      </c>
      <c r="I104" s="49">
        <f t="shared" si="152"/>
        <v>15.058999999999999</v>
      </c>
      <c r="J104" s="240">
        <v>0.85</v>
      </c>
      <c r="K104" s="241">
        <f t="shared" si="153"/>
        <v>12.800149999999999</v>
      </c>
      <c r="L104" s="242">
        <f t="shared" ref="L104:L105" si="161">IF(F104=0,"",L$34)</f>
        <v>53.82</v>
      </c>
      <c r="M104" s="26">
        <v>0.02</v>
      </c>
      <c r="N104" s="26">
        <f t="shared" si="155"/>
        <v>0.30118</v>
      </c>
      <c r="O104" s="241">
        <f t="shared" si="156"/>
        <v>16.209507600000002</v>
      </c>
      <c r="P104" s="243">
        <f t="shared" si="157"/>
        <v>1.9264000000000001</v>
      </c>
      <c r="Q104" s="241">
        <f t="shared" si="158"/>
        <v>29.009657600000001</v>
      </c>
      <c r="R104" s="121"/>
    </row>
    <row r="105" spans="1:18" x14ac:dyDescent="0.35">
      <c r="A105" s="69" t="str">
        <f>IF(TRIM(G105)&lt;&gt;"",COUNTA(G$11:$G105)&amp;"","")</f>
        <v>79</v>
      </c>
      <c r="B105" s="284"/>
      <c r="C105" s="284"/>
      <c r="D105" s="34"/>
      <c r="E105" s="228" t="s">
        <v>164</v>
      </c>
      <c r="F105" s="71">
        <f>F98</f>
        <v>13.69</v>
      </c>
      <c r="G105" s="63" t="s">
        <v>83</v>
      </c>
      <c r="H105" s="22">
        <v>0.1</v>
      </c>
      <c r="I105" s="49">
        <f t="shared" si="152"/>
        <v>15.058999999999999</v>
      </c>
      <c r="J105" s="240">
        <f>26.69/16</f>
        <v>1.6681250000000001</v>
      </c>
      <c r="K105" s="241">
        <f t="shared" si="153"/>
        <v>25.120294375</v>
      </c>
      <c r="L105" s="242">
        <f t="shared" si="161"/>
        <v>53.82</v>
      </c>
      <c r="M105" s="26">
        <v>2.4E-2</v>
      </c>
      <c r="N105" s="26">
        <f t="shared" si="155"/>
        <v>0.36141600000000002</v>
      </c>
      <c r="O105" s="241">
        <f t="shared" si="156"/>
        <v>19.451409120000001</v>
      </c>
      <c r="P105" s="243">
        <f t="shared" si="157"/>
        <v>2.9598050000000002</v>
      </c>
      <c r="Q105" s="241">
        <f t="shared" si="158"/>
        <v>44.571703495000001</v>
      </c>
      <c r="R105" s="121"/>
    </row>
    <row r="106" spans="1:18" x14ac:dyDescent="0.35">
      <c r="A106" s="69" t="str">
        <f>IF(TRIM(G106)&lt;&gt;"",COUNTA(G$11:$G106)&amp;"","")</f>
        <v>80</v>
      </c>
      <c r="B106" s="284"/>
      <c r="C106" s="284"/>
      <c r="D106" s="34"/>
      <c r="E106" s="228" t="s">
        <v>165</v>
      </c>
      <c r="F106" s="71">
        <f>(F98*14)/2</f>
        <v>95.83</v>
      </c>
      <c r="G106" s="63" t="s">
        <v>83</v>
      </c>
      <c r="H106" s="22">
        <v>0.1</v>
      </c>
      <c r="I106" s="49">
        <f t="shared" si="152"/>
        <v>105.413</v>
      </c>
      <c r="J106" s="240">
        <v>0.85</v>
      </c>
      <c r="K106" s="241">
        <f t="shared" si="153"/>
        <v>89.601050000000001</v>
      </c>
      <c r="L106" s="242">
        <f t="shared" ref="L106:L109" si="162">IF(F106=0,"",L$34)</f>
        <v>53.82</v>
      </c>
      <c r="M106" s="26">
        <v>0.02</v>
      </c>
      <c r="N106" s="26">
        <f t="shared" si="155"/>
        <v>2.10826</v>
      </c>
      <c r="O106" s="241">
        <f t="shared" si="156"/>
        <v>113.46655320000001</v>
      </c>
      <c r="P106" s="243">
        <f t="shared" si="157"/>
        <v>1.9264000000000001</v>
      </c>
      <c r="Q106" s="241">
        <f t="shared" si="158"/>
        <v>203.06760320000001</v>
      </c>
      <c r="R106" s="121"/>
    </row>
    <row r="107" spans="1:18" x14ac:dyDescent="0.35">
      <c r="A107" s="69" t="str">
        <f>IF(TRIM(G107)&lt;&gt;"",COUNTA(G$11:$G107)&amp;"","")</f>
        <v>81</v>
      </c>
      <c r="B107" s="284"/>
      <c r="C107" s="284"/>
      <c r="D107" s="34"/>
      <c r="E107" s="228" t="s">
        <v>166</v>
      </c>
      <c r="F107" s="71">
        <f>F98</f>
        <v>13.69</v>
      </c>
      <c r="G107" s="63" t="s">
        <v>83</v>
      </c>
      <c r="H107" s="22">
        <v>0.1</v>
      </c>
      <c r="I107" s="49">
        <f t="shared" si="152"/>
        <v>15.058999999999999</v>
      </c>
      <c r="J107" s="240">
        <v>2.2999999999999998</v>
      </c>
      <c r="K107" s="241">
        <f t="shared" si="153"/>
        <v>34.635699999999993</v>
      </c>
      <c r="L107" s="242">
        <f t="shared" si="162"/>
        <v>53.82</v>
      </c>
      <c r="M107" s="26">
        <v>2.5999999999999999E-2</v>
      </c>
      <c r="N107" s="26">
        <f t="shared" si="155"/>
        <v>0.39153399999999994</v>
      </c>
      <c r="O107" s="241">
        <f t="shared" si="156"/>
        <v>21.072359879999997</v>
      </c>
      <c r="P107" s="243">
        <f t="shared" si="157"/>
        <v>3.6993199999999997</v>
      </c>
      <c r="Q107" s="241">
        <f t="shared" si="158"/>
        <v>55.708059879999993</v>
      </c>
      <c r="R107" s="121"/>
    </row>
    <row r="108" spans="1:18" x14ac:dyDescent="0.35">
      <c r="A108" s="69" t="str">
        <f>IF(TRIM(G108)&lt;&gt;"",COUNTA(G$11:$G108)&amp;"","")</f>
        <v>82</v>
      </c>
      <c r="B108" s="284"/>
      <c r="C108" s="284"/>
      <c r="D108" s="34"/>
      <c r="E108" s="67" t="s">
        <v>167</v>
      </c>
      <c r="F108" s="71">
        <f>F98*24</f>
        <v>328.56</v>
      </c>
      <c r="G108" s="63" t="s">
        <v>69</v>
      </c>
      <c r="H108" s="22">
        <v>0.1</v>
      </c>
      <c r="I108" s="49">
        <f t="shared" si="152"/>
        <v>361.416</v>
      </c>
      <c r="J108" s="240">
        <v>0.69</v>
      </c>
      <c r="K108" s="241">
        <f t="shared" si="153"/>
        <v>249.37703999999997</v>
      </c>
      <c r="L108" s="242">
        <f t="shared" si="162"/>
        <v>53.82</v>
      </c>
      <c r="M108" s="26">
        <v>1.2E-2</v>
      </c>
      <c r="N108" s="26">
        <f t="shared" si="155"/>
        <v>4.3369920000000004</v>
      </c>
      <c r="O108" s="241">
        <f t="shared" si="156"/>
        <v>233.41690944000001</v>
      </c>
      <c r="P108" s="243">
        <f t="shared" si="157"/>
        <v>1.3358400000000001</v>
      </c>
      <c r="Q108" s="241">
        <f t="shared" si="158"/>
        <v>482.79394944000006</v>
      </c>
      <c r="R108" s="121"/>
    </row>
    <row r="109" spans="1:18" x14ac:dyDescent="0.35">
      <c r="A109" s="69" t="str">
        <f>IF(TRIM(G109)&lt;&gt;"",COUNTA(G$11:$G109)&amp;"","")</f>
        <v>83</v>
      </c>
      <c r="B109" s="284"/>
      <c r="C109" s="284"/>
      <c r="D109" s="34"/>
      <c r="E109" s="67" t="s">
        <v>108</v>
      </c>
      <c r="F109" s="71">
        <f>F98*4</f>
        <v>54.76</v>
      </c>
      <c r="G109" s="63" t="s">
        <v>83</v>
      </c>
      <c r="H109" s="22">
        <v>0.1</v>
      </c>
      <c r="I109" s="49">
        <f t="shared" si="152"/>
        <v>60.235999999999997</v>
      </c>
      <c r="J109" s="240">
        <v>0.2</v>
      </c>
      <c r="K109" s="241">
        <f t="shared" si="153"/>
        <v>12.0472</v>
      </c>
      <c r="L109" s="242">
        <f t="shared" si="162"/>
        <v>53.82</v>
      </c>
      <c r="M109" s="26">
        <v>1.6E-2</v>
      </c>
      <c r="N109" s="26">
        <f t="shared" si="155"/>
        <v>0.96377599999999997</v>
      </c>
      <c r="O109" s="241">
        <f t="shared" si="156"/>
        <v>51.870424319999998</v>
      </c>
      <c r="P109" s="243">
        <f t="shared" si="157"/>
        <v>1.0611200000000001</v>
      </c>
      <c r="Q109" s="241">
        <f t="shared" si="158"/>
        <v>63.917624320000002</v>
      </c>
      <c r="R109" s="121"/>
    </row>
    <row r="110" spans="1:18" x14ac:dyDescent="0.35">
      <c r="A110" s="69" t="str">
        <f>IF(TRIM(G110)&lt;&gt;"",COUNTA(G$11:$G260)&amp;"","")</f>
        <v/>
      </c>
      <c r="B110" s="284"/>
      <c r="C110" s="284"/>
      <c r="D110" s="34"/>
      <c r="E110" s="67"/>
      <c r="F110" s="71"/>
      <c r="G110" s="63"/>
      <c r="H110" s="22"/>
      <c r="I110" s="49"/>
      <c r="J110" s="23"/>
      <c r="K110" s="24"/>
      <c r="L110" s="25"/>
      <c r="M110" s="26"/>
      <c r="N110" s="26"/>
      <c r="O110" s="24"/>
      <c r="P110" s="27"/>
      <c r="Q110" s="24"/>
      <c r="R110" s="121"/>
    </row>
    <row r="111" spans="1:18" x14ac:dyDescent="0.35">
      <c r="A111" s="69" t="str">
        <f>IF(TRIM(G111)&lt;&gt;"",COUNTA(G$11:$G111)&amp;"","")</f>
        <v>84</v>
      </c>
      <c r="B111" s="284"/>
      <c r="C111" s="284"/>
      <c r="D111" s="34"/>
      <c r="E111" s="233" t="s">
        <v>150</v>
      </c>
      <c r="F111" s="234">
        <v>89.8</v>
      </c>
      <c r="G111" s="238" t="s">
        <v>83</v>
      </c>
      <c r="H111" s="22"/>
      <c r="I111" s="49"/>
      <c r="J111" s="23"/>
      <c r="K111" s="24"/>
      <c r="L111" s="25"/>
      <c r="M111" s="26"/>
      <c r="N111" s="26"/>
      <c r="O111" s="24"/>
      <c r="P111" s="27"/>
      <c r="Q111" s="24"/>
      <c r="R111" s="121"/>
    </row>
    <row r="112" spans="1:18" x14ac:dyDescent="0.35">
      <c r="A112" s="69" t="str">
        <f>IF(TRIM(G112)&lt;&gt;"",COUNTA(G$11:$G112)&amp;"","")</f>
        <v>85</v>
      </c>
      <c r="B112" s="284"/>
      <c r="C112" s="284"/>
      <c r="D112" s="34"/>
      <c r="E112" s="67" t="s">
        <v>122</v>
      </c>
      <c r="F112" s="71">
        <f>F111/1.33+1</f>
        <v>68.518796992481199</v>
      </c>
      <c r="G112" s="63" t="s">
        <v>102</v>
      </c>
      <c r="H112" s="22">
        <v>0</v>
      </c>
      <c r="I112" s="49">
        <f t="shared" ref="I112:I113" si="163">IF(F112=0,"",F112+(F112*H112))</f>
        <v>68.518796992481199</v>
      </c>
      <c r="J112" s="240">
        <f>1.26*14.5</f>
        <v>18.27</v>
      </c>
      <c r="K112" s="241">
        <f t="shared" ref="K112:K113" si="164">IF(F112=0,"",J112*I112)</f>
        <v>1251.8384210526315</v>
      </c>
      <c r="L112" s="242">
        <f t="shared" ref="L112:L113" si="165">IF(F112=0,"",L$34)</f>
        <v>53.82</v>
      </c>
      <c r="M112" s="26">
        <f>0.052*14.5</f>
        <v>0.754</v>
      </c>
      <c r="N112" s="26">
        <f t="shared" ref="N112:N113" si="166">IF(F112=0,"",M112*I112)</f>
        <v>51.663172932330824</v>
      </c>
      <c r="O112" s="241">
        <f t="shared" ref="O112:O113" si="167">IF(F112=0,"",N112*L112)</f>
        <v>2780.5119672180449</v>
      </c>
      <c r="P112" s="243">
        <f t="shared" ref="P112:P113" si="168">IF(F112=0,"",(K112+O112)/I112)</f>
        <v>58.850279999999998</v>
      </c>
      <c r="Q112" s="241">
        <f t="shared" ref="Q112:Q113" si="169">IF(F112=0,"",(P112*I112))</f>
        <v>4032.3503882706764</v>
      </c>
      <c r="R112" s="121"/>
    </row>
    <row r="113" spans="1:18" x14ac:dyDescent="0.35">
      <c r="A113" s="69" t="str">
        <f>IF(TRIM(G113)&lt;&gt;"",COUNTA(G$11:$G113)&amp;"","")</f>
        <v>86</v>
      </c>
      <c r="B113" s="284"/>
      <c r="C113" s="284"/>
      <c r="D113" s="34"/>
      <c r="E113" s="228" t="s">
        <v>123</v>
      </c>
      <c r="F113" s="71">
        <f>F111</f>
        <v>89.8</v>
      </c>
      <c r="G113" s="63" t="s">
        <v>83</v>
      </c>
      <c r="H113" s="22">
        <v>0.1</v>
      </c>
      <c r="I113" s="49">
        <f t="shared" si="163"/>
        <v>98.78</v>
      </c>
      <c r="J113" s="240">
        <v>1.26</v>
      </c>
      <c r="K113" s="241">
        <f t="shared" si="164"/>
        <v>124.4628</v>
      </c>
      <c r="L113" s="242">
        <f t="shared" si="165"/>
        <v>53.82</v>
      </c>
      <c r="M113" s="26">
        <v>5.1999999999999998E-2</v>
      </c>
      <c r="N113" s="26">
        <f t="shared" si="166"/>
        <v>5.1365600000000002</v>
      </c>
      <c r="O113" s="241">
        <f t="shared" si="167"/>
        <v>276.44965920000004</v>
      </c>
      <c r="P113" s="243">
        <f t="shared" si="168"/>
        <v>4.0586400000000005</v>
      </c>
      <c r="Q113" s="241">
        <f t="shared" si="169"/>
        <v>400.91245920000006</v>
      </c>
      <c r="R113" s="121"/>
    </row>
    <row r="114" spans="1:18" x14ac:dyDescent="0.35">
      <c r="A114" s="69" t="str">
        <f>IF(TRIM(G114)&lt;&gt;"",COUNTA(G$11:$G114)&amp;"","")</f>
        <v>87</v>
      </c>
      <c r="B114" s="284"/>
      <c r="C114" s="284"/>
      <c r="D114" s="34"/>
      <c r="E114" s="228" t="s">
        <v>124</v>
      </c>
      <c r="F114" s="71">
        <f>F111</f>
        <v>89.8</v>
      </c>
      <c r="G114" s="63" t="s">
        <v>83</v>
      </c>
      <c r="H114" s="22">
        <v>0.1</v>
      </c>
      <c r="I114" s="49">
        <f t="shared" ref="I114:I116" si="170">IF(F114=0,"",F114+(F114*H114))</f>
        <v>98.78</v>
      </c>
      <c r="J114" s="240">
        <v>1.26</v>
      </c>
      <c r="K114" s="241">
        <f t="shared" ref="K114:K116" si="171">IF(F114=0,"",J114*I114)</f>
        <v>124.4628</v>
      </c>
      <c r="L114" s="242">
        <f t="shared" ref="L114:L115" si="172">IF(F114=0,"",L$34)</f>
        <v>53.82</v>
      </c>
      <c r="M114" s="26">
        <v>5.1999999999999998E-2</v>
      </c>
      <c r="N114" s="26">
        <f t="shared" ref="N114:N116" si="173">IF(F114=0,"",M114*I114)</f>
        <v>5.1365600000000002</v>
      </c>
      <c r="O114" s="241">
        <f t="shared" ref="O114:O116" si="174">IF(F114=0,"",N114*L114)</f>
        <v>276.44965920000004</v>
      </c>
      <c r="P114" s="243">
        <f t="shared" ref="P114:P116" si="175">IF(F114=0,"",(K114+O114)/I114)</f>
        <v>4.0586400000000005</v>
      </c>
      <c r="Q114" s="241">
        <f t="shared" ref="Q114:Q116" si="176">IF(F114=0,"",(P114*I114))</f>
        <v>400.91245920000006</v>
      </c>
      <c r="R114" s="121"/>
    </row>
    <row r="115" spans="1:18" x14ac:dyDescent="0.35">
      <c r="A115" s="69" t="str">
        <f>IF(TRIM(G115)&lt;&gt;"",COUNTA(G$11:$G115)&amp;"","")</f>
        <v>88</v>
      </c>
      <c r="B115" s="284"/>
      <c r="C115" s="284"/>
      <c r="D115" s="34"/>
      <c r="E115" s="228" t="s">
        <v>125</v>
      </c>
      <c r="F115" s="71">
        <f>(F111*14.5)+(F111*8.5)</f>
        <v>2065.3999999999996</v>
      </c>
      <c r="G115" s="63" t="s">
        <v>69</v>
      </c>
      <c r="H115" s="22">
        <v>0.1</v>
      </c>
      <c r="I115" s="49">
        <f t="shared" si="170"/>
        <v>2271.9399999999996</v>
      </c>
      <c r="J115" s="240">
        <v>0.62</v>
      </c>
      <c r="K115" s="241">
        <f t="shared" si="171"/>
        <v>1408.6027999999997</v>
      </c>
      <c r="L115" s="242">
        <f t="shared" si="172"/>
        <v>53.82</v>
      </c>
      <c r="M115" s="26">
        <v>1.6E-2</v>
      </c>
      <c r="N115" s="26">
        <f t="shared" si="173"/>
        <v>36.351039999999998</v>
      </c>
      <c r="O115" s="241">
        <f t="shared" si="174"/>
        <v>1956.4129727999998</v>
      </c>
      <c r="P115" s="243">
        <f t="shared" si="175"/>
        <v>1.48112</v>
      </c>
      <c r="Q115" s="241">
        <f t="shared" si="176"/>
        <v>3365.0157727999995</v>
      </c>
      <c r="R115" s="121"/>
    </row>
    <row r="116" spans="1:18" x14ac:dyDescent="0.35">
      <c r="A116" s="69" t="str">
        <f>IF(TRIM(G116)&lt;&gt;"",COUNTA(G$11:$G116)&amp;"","")</f>
        <v>89</v>
      </c>
      <c r="B116" s="284"/>
      <c r="C116" s="284"/>
      <c r="D116" s="34"/>
      <c r="E116" s="228" t="s">
        <v>149</v>
      </c>
      <c r="F116" s="71">
        <f>F111*4</f>
        <v>359.2</v>
      </c>
      <c r="G116" s="63" t="s">
        <v>69</v>
      </c>
      <c r="H116" s="22">
        <v>0.1</v>
      </c>
      <c r="I116" s="49">
        <f t="shared" si="170"/>
        <v>395.12</v>
      </c>
      <c r="J116" s="240">
        <f>17.4/32</f>
        <v>0.54374999999999996</v>
      </c>
      <c r="K116" s="241">
        <f t="shared" si="171"/>
        <v>214.84649999999999</v>
      </c>
      <c r="L116" s="242">
        <f t="shared" ref="L116" si="177">IF(F116=0,"",L$34)</f>
        <v>53.82</v>
      </c>
      <c r="M116" s="26">
        <v>1.6E-2</v>
      </c>
      <c r="N116" s="26">
        <f t="shared" si="173"/>
        <v>6.3219200000000004</v>
      </c>
      <c r="O116" s="241">
        <f t="shared" si="174"/>
        <v>340.2457344</v>
      </c>
      <c r="P116" s="243">
        <f t="shared" si="175"/>
        <v>1.4048700000000001</v>
      </c>
      <c r="Q116" s="241">
        <f t="shared" si="176"/>
        <v>555.09223440000005</v>
      </c>
      <c r="R116" s="121"/>
    </row>
    <row r="117" spans="1:18" x14ac:dyDescent="0.35">
      <c r="A117" s="69" t="str">
        <f>IF(TRIM(G117)&lt;&gt;"",COUNTA(G$11:$G117)&amp;"","")</f>
        <v>90</v>
      </c>
      <c r="B117" s="284"/>
      <c r="C117" s="284"/>
      <c r="D117" s="34"/>
      <c r="E117" s="228" t="s">
        <v>162</v>
      </c>
      <c r="F117" s="71">
        <f>F111*14.5</f>
        <v>1302.0999999999999</v>
      </c>
      <c r="G117" s="63" t="s">
        <v>69</v>
      </c>
      <c r="H117" s="22">
        <v>0.1</v>
      </c>
      <c r="I117" s="49">
        <f t="shared" ref="I117:I118" si="178">IF(F117=0,"",F117+(F117*H117))</f>
        <v>1432.31</v>
      </c>
      <c r="J117" s="240">
        <v>0.49</v>
      </c>
      <c r="K117" s="241">
        <f t="shared" ref="K117:K118" si="179">IF(F117=0,"",J117*I117)</f>
        <v>701.83189999999991</v>
      </c>
      <c r="L117" s="242">
        <f t="shared" ref="L117:L118" si="180">IF(F117=0,"",L$34)</f>
        <v>53.82</v>
      </c>
      <c r="M117" s="26">
        <v>0.01</v>
      </c>
      <c r="N117" s="26">
        <f t="shared" ref="N117:N118" si="181">IF(F117=0,"",M117*I117)</f>
        <v>14.3231</v>
      </c>
      <c r="O117" s="241">
        <f t="shared" ref="O117:O118" si="182">IF(F117=0,"",N117*L117)</f>
        <v>770.86924199999999</v>
      </c>
      <c r="P117" s="243">
        <f t="shared" ref="P117:P118" si="183">IF(F117=0,"",(K117+O117)/I117)</f>
        <v>1.0282</v>
      </c>
      <c r="Q117" s="241">
        <f t="shared" ref="Q117:Q118" si="184">IF(F117=0,"",(P117*I117))</f>
        <v>1472.7011419999999</v>
      </c>
      <c r="R117" s="121"/>
    </row>
    <row r="118" spans="1:18" x14ac:dyDescent="0.35">
      <c r="A118" s="69" t="str">
        <f>IF(TRIM(G118)&lt;&gt;"",COUNTA(G$11:$G118)&amp;"","")</f>
        <v>91</v>
      </c>
      <c r="B118" s="284"/>
      <c r="C118" s="284"/>
      <c r="D118" s="34"/>
      <c r="E118" s="67" t="s">
        <v>108</v>
      </c>
      <c r="F118" s="71">
        <f>F111*4</f>
        <v>359.2</v>
      </c>
      <c r="G118" s="63" t="s">
        <v>83</v>
      </c>
      <c r="H118" s="22">
        <v>0.1</v>
      </c>
      <c r="I118" s="49">
        <f t="shared" si="178"/>
        <v>395.12</v>
      </c>
      <c r="J118" s="240">
        <v>0.2</v>
      </c>
      <c r="K118" s="241">
        <f t="shared" si="179"/>
        <v>79.024000000000001</v>
      </c>
      <c r="L118" s="242">
        <f t="shared" si="180"/>
        <v>53.82</v>
      </c>
      <c r="M118" s="26">
        <v>1.6E-2</v>
      </c>
      <c r="N118" s="26">
        <f t="shared" si="181"/>
        <v>6.3219200000000004</v>
      </c>
      <c r="O118" s="241">
        <f t="shared" si="182"/>
        <v>340.2457344</v>
      </c>
      <c r="P118" s="243">
        <f t="shared" si="183"/>
        <v>1.0611200000000001</v>
      </c>
      <c r="Q118" s="241">
        <f t="shared" si="184"/>
        <v>419.2697344</v>
      </c>
      <c r="R118" s="121"/>
    </row>
    <row r="119" spans="1:18" x14ac:dyDescent="0.35">
      <c r="A119" s="69" t="str">
        <f>IF(TRIM(G119)&lt;&gt;"",COUNTA(G$11:$G303)&amp;"","")</f>
        <v/>
      </c>
      <c r="B119" s="284"/>
      <c r="C119" s="284"/>
      <c r="D119" s="34"/>
      <c r="E119" s="67"/>
      <c r="F119" s="71"/>
      <c r="G119" s="63"/>
      <c r="H119" s="22"/>
      <c r="I119" s="49"/>
      <c r="J119" s="23"/>
      <c r="K119" s="24"/>
      <c r="L119" s="25"/>
      <c r="M119" s="26"/>
      <c r="N119" s="26"/>
      <c r="O119" s="24"/>
      <c r="P119" s="27"/>
      <c r="Q119" s="24"/>
      <c r="R119" s="121"/>
    </row>
    <row r="120" spans="1:18" x14ac:dyDescent="0.35">
      <c r="A120" s="69" t="str">
        <f>IF(TRIM(G120)&lt;&gt;"",COUNTA(G$11:$G120)&amp;"","")</f>
        <v>92</v>
      </c>
      <c r="B120" s="284"/>
      <c r="C120" s="284"/>
      <c r="D120" s="34"/>
      <c r="E120" s="233" t="s">
        <v>191</v>
      </c>
      <c r="F120" s="234">
        <v>14.6</v>
      </c>
      <c r="G120" s="239" t="s">
        <v>83</v>
      </c>
      <c r="H120" s="22"/>
      <c r="I120" s="49"/>
      <c r="J120" s="23"/>
      <c r="K120" s="24"/>
      <c r="L120" s="25"/>
      <c r="M120" s="26"/>
      <c r="N120" s="26"/>
      <c r="O120" s="24"/>
      <c r="P120" s="27"/>
      <c r="Q120" s="24"/>
      <c r="R120" s="121"/>
    </row>
    <row r="121" spans="1:18" x14ac:dyDescent="0.35">
      <c r="A121" s="69" t="str">
        <f>IF(TRIM(G121)&lt;&gt;"",COUNTA(G$11:$G121)&amp;"","")</f>
        <v>93</v>
      </c>
      <c r="B121" s="284"/>
      <c r="C121" s="284"/>
      <c r="D121" s="34"/>
      <c r="E121" s="67" t="s">
        <v>122</v>
      </c>
      <c r="F121" s="71">
        <f>(F120/1.33+1)*2</f>
        <v>23.954887218045112</v>
      </c>
      <c r="G121" s="72" t="s">
        <v>102</v>
      </c>
      <c r="H121" s="22">
        <v>0</v>
      </c>
      <c r="I121" s="49">
        <f t="shared" ref="I121:I122" si="185">IF(F121=0,"",F121+(F121*H121))</f>
        <v>23.954887218045112</v>
      </c>
      <c r="J121" s="240">
        <f>1.26*14.5</f>
        <v>18.27</v>
      </c>
      <c r="K121" s="241">
        <f t="shared" ref="K121:K122" si="186">IF(F121=0,"",J121*I121)</f>
        <v>437.65578947368419</v>
      </c>
      <c r="L121" s="242">
        <f t="shared" ref="L121:L122" si="187">IF(F121=0,"",L$34)</f>
        <v>53.82</v>
      </c>
      <c r="M121" s="26">
        <f>0.052*14.5</f>
        <v>0.754</v>
      </c>
      <c r="N121" s="26">
        <f t="shared" ref="N121:N122" si="188">IF(F121=0,"",M121*I121)</f>
        <v>18.061984962406015</v>
      </c>
      <c r="O121" s="241">
        <f t="shared" ref="O121:O122" si="189">IF(F121=0,"",N121*L121)</f>
        <v>972.09603067669173</v>
      </c>
      <c r="P121" s="243">
        <f t="shared" ref="P121:P122" si="190">IF(F121=0,"",(K121+O121)/I121)</f>
        <v>58.850279999999998</v>
      </c>
      <c r="Q121" s="241">
        <f t="shared" ref="Q121:Q122" si="191">IF(F121=0,"",(P121*I121))</f>
        <v>1409.7518201503758</v>
      </c>
      <c r="R121" s="121"/>
    </row>
    <row r="122" spans="1:18" x14ac:dyDescent="0.35">
      <c r="A122" s="69" t="str">
        <f>IF(TRIM(G122)&lt;&gt;"",COUNTA(G$11:$G122)&amp;"","")</f>
        <v>94</v>
      </c>
      <c r="B122" s="284"/>
      <c r="C122" s="284"/>
      <c r="D122" s="34"/>
      <c r="E122" s="228" t="s">
        <v>123</v>
      </c>
      <c r="F122" s="71">
        <f>F120*2</f>
        <v>29.2</v>
      </c>
      <c r="G122" s="72" t="s">
        <v>83</v>
      </c>
      <c r="H122" s="22">
        <v>0.1</v>
      </c>
      <c r="I122" s="49">
        <f t="shared" si="185"/>
        <v>32.119999999999997</v>
      </c>
      <c r="J122" s="240">
        <v>1.26</v>
      </c>
      <c r="K122" s="241">
        <f t="shared" si="186"/>
        <v>40.471199999999996</v>
      </c>
      <c r="L122" s="242">
        <f t="shared" si="187"/>
        <v>53.82</v>
      </c>
      <c r="M122" s="26">
        <v>5.1999999999999998E-2</v>
      </c>
      <c r="N122" s="26">
        <f t="shared" si="188"/>
        <v>1.6702399999999997</v>
      </c>
      <c r="O122" s="241">
        <f t="shared" si="189"/>
        <v>89.892316799999989</v>
      </c>
      <c r="P122" s="243">
        <f t="shared" si="190"/>
        <v>4.0586399999999996</v>
      </c>
      <c r="Q122" s="241">
        <f t="shared" si="191"/>
        <v>130.36351679999999</v>
      </c>
      <c r="R122" s="121"/>
    </row>
    <row r="123" spans="1:18" x14ac:dyDescent="0.35">
      <c r="A123" s="69" t="str">
        <f>IF(TRIM(G123)&lt;&gt;"",COUNTA(G$11:$G123)&amp;"","")</f>
        <v>95</v>
      </c>
      <c r="B123" s="284"/>
      <c r="C123" s="284"/>
      <c r="D123" s="34"/>
      <c r="E123" s="228" t="s">
        <v>124</v>
      </c>
      <c r="F123" s="71">
        <f>F120*2</f>
        <v>29.2</v>
      </c>
      <c r="G123" s="72" t="s">
        <v>83</v>
      </c>
      <c r="H123" s="22">
        <v>0.1</v>
      </c>
      <c r="I123" s="49">
        <f t="shared" ref="I123:I127" si="192">IF(F123=0,"",F123+(F123*H123))</f>
        <v>32.119999999999997</v>
      </c>
      <c r="J123" s="240">
        <v>1.26</v>
      </c>
      <c r="K123" s="241">
        <f t="shared" ref="K123:K127" si="193">IF(F123=0,"",J123*I123)</f>
        <v>40.471199999999996</v>
      </c>
      <c r="L123" s="242">
        <f t="shared" ref="L123:L124" si="194">IF(F123=0,"",L$34)</f>
        <v>53.82</v>
      </c>
      <c r="M123" s="26">
        <v>5.1999999999999998E-2</v>
      </c>
      <c r="N123" s="26">
        <f t="shared" ref="N123:N127" si="195">IF(F123=0,"",M123*I123)</f>
        <v>1.6702399999999997</v>
      </c>
      <c r="O123" s="241">
        <f t="shared" ref="O123:O127" si="196">IF(F123=0,"",N123*L123)</f>
        <v>89.892316799999989</v>
      </c>
      <c r="P123" s="243">
        <f t="shared" ref="P123:P127" si="197">IF(F123=0,"",(K123+O123)/I123)</f>
        <v>4.0586399999999996</v>
      </c>
      <c r="Q123" s="241">
        <f t="shared" ref="Q123:Q127" si="198">IF(F123=0,"",(P123*I123))</f>
        <v>130.36351679999999</v>
      </c>
      <c r="R123" s="121"/>
    </row>
    <row r="124" spans="1:18" x14ac:dyDescent="0.35">
      <c r="A124" s="69" t="str">
        <f>IF(TRIM(G124)&lt;&gt;"",COUNTA(G$11:$G124)&amp;"","")</f>
        <v>96</v>
      </c>
      <c r="B124" s="284"/>
      <c r="C124" s="284"/>
      <c r="D124" s="34"/>
      <c r="E124" s="228" t="s">
        <v>192</v>
      </c>
      <c r="F124" s="71">
        <f>(F120*14.5)/3</f>
        <v>70.566666666666663</v>
      </c>
      <c r="G124" s="72" t="s">
        <v>83</v>
      </c>
      <c r="H124" s="22">
        <v>0.1</v>
      </c>
      <c r="I124" s="49">
        <f t="shared" si="192"/>
        <v>77.623333333333335</v>
      </c>
      <c r="J124" s="240">
        <v>1.26</v>
      </c>
      <c r="K124" s="241">
        <f t="shared" si="193"/>
        <v>97.805400000000006</v>
      </c>
      <c r="L124" s="242">
        <f t="shared" si="194"/>
        <v>53.82</v>
      </c>
      <c r="M124" s="26">
        <v>5.1999999999999998E-2</v>
      </c>
      <c r="N124" s="26">
        <f t="shared" si="195"/>
        <v>4.036413333333333</v>
      </c>
      <c r="O124" s="241">
        <f t="shared" si="196"/>
        <v>217.23976559999997</v>
      </c>
      <c r="P124" s="243">
        <f t="shared" si="197"/>
        <v>4.0586399999999996</v>
      </c>
      <c r="Q124" s="241">
        <f t="shared" si="198"/>
        <v>315.04516559999996</v>
      </c>
      <c r="R124" s="121"/>
    </row>
    <row r="125" spans="1:18" x14ac:dyDescent="0.35">
      <c r="A125" s="69" t="str">
        <f>IF(TRIM(G125)&lt;&gt;"",COUNTA(G$11:$G125)&amp;"","")</f>
        <v>97</v>
      </c>
      <c r="B125" s="284"/>
      <c r="C125" s="284"/>
      <c r="D125" s="34"/>
      <c r="E125" s="228" t="s">
        <v>125</v>
      </c>
      <c r="F125" s="71">
        <f>(F120*8*2)</f>
        <v>233.6</v>
      </c>
      <c r="G125" s="72" t="s">
        <v>69</v>
      </c>
      <c r="H125" s="22">
        <v>0.1</v>
      </c>
      <c r="I125" s="49">
        <f t="shared" ref="I125" si="199">IF(F125=0,"",F125+(F125*H125))</f>
        <v>256.95999999999998</v>
      </c>
      <c r="J125" s="240">
        <v>0.62</v>
      </c>
      <c r="K125" s="241">
        <f t="shared" ref="K125" si="200">IF(F125=0,"",J125*I125)</f>
        <v>159.31519999999998</v>
      </c>
      <c r="L125" s="242">
        <f t="shared" ref="L125" si="201">IF(F125=0,"",L$34)</f>
        <v>53.82</v>
      </c>
      <c r="M125" s="26">
        <v>1.6E-2</v>
      </c>
      <c r="N125" s="26">
        <f t="shared" ref="N125" si="202">IF(F125=0,"",M125*I125)</f>
        <v>4.1113599999999995</v>
      </c>
      <c r="O125" s="241">
        <f t="shared" ref="O125" si="203">IF(F125=0,"",N125*L125)</f>
        <v>221.27339519999998</v>
      </c>
      <c r="P125" s="243">
        <f t="shared" ref="P125" si="204">IF(F125=0,"",(K125+O125)/I125)</f>
        <v>1.48112</v>
      </c>
      <c r="Q125" s="241">
        <f t="shared" ref="Q125" si="205">IF(F125=0,"",(P125*I125))</f>
        <v>380.58859519999999</v>
      </c>
      <c r="R125" s="121"/>
    </row>
    <row r="126" spans="1:18" x14ac:dyDescent="0.35">
      <c r="A126" s="69" t="str">
        <f>IF(TRIM(G126)&lt;&gt;"",COUNTA(G$11:$G126)&amp;"","")</f>
        <v>98</v>
      </c>
      <c r="B126" s="284"/>
      <c r="C126" s="284"/>
      <c r="D126" s="34"/>
      <c r="E126" s="228" t="s">
        <v>155</v>
      </c>
      <c r="F126" s="71">
        <f>F120*8</f>
        <v>116.8</v>
      </c>
      <c r="G126" s="72" t="s">
        <v>69</v>
      </c>
      <c r="H126" s="22">
        <v>0.1</v>
      </c>
      <c r="I126" s="49">
        <f t="shared" si="192"/>
        <v>128.47999999999999</v>
      </c>
      <c r="J126" s="240">
        <v>0.49</v>
      </c>
      <c r="K126" s="241">
        <f t="shared" si="193"/>
        <v>62.955199999999991</v>
      </c>
      <c r="L126" s="242">
        <f t="shared" ref="L126:L127" si="206">IF(F126=0,"",L$34)</f>
        <v>53.82</v>
      </c>
      <c r="M126" s="26">
        <v>0.01</v>
      </c>
      <c r="N126" s="26">
        <f t="shared" si="195"/>
        <v>1.2847999999999999</v>
      </c>
      <c r="O126" s="241">
        <f t="shared" si="196"/>
        <v>69.147936000000001</v>
      </c>
      <c r="P126" s="243">
        <f t="shared" si="197"/>
        <v>1.0282000000000002</v>
      </c>
      <c r="Q126" s="241">
        <f t="shared" si="198"/>
        <v>132.10313600000001</v>
      </c>
      <c r="R126" s="121"/>
    </row>
    <row r="127" spans="1:18" x14ac:dyDescent="0.35">
      <c r="A127" s="69" t="str">
        <f>IF(TRIM(G127)&lt;&gt;"",COUNTA(G$11:$G127)&amp;"","")</f>
        <v>99</v>
      </c>
      <c r="B127" s="284"/>
      <c r="C127" s="284"/>
      <c r="D127" s="34"/>
      <c r="E127" s="67" t="s">
        <v>108</v>
      </c>
      <c r="F127" s="71">
        <f>F120*4</f>
        <v>58.4</v>
      </c>
      <c r="G127" s="72" t="s">
        <v>83</v>
      </c>
      <c r="H127" s="22">
        <v>0.1</v>
      </c>
      <c r="I127" s="49">
        <f t="shared" si="192"/>
        <v>64.239999999999995</v>
      </c>
      <c r="J127" s="240">
        <v>0.2</v>
      </c>
      <c r="K127" s="241">
        <f t="shared" si="193"/>
        <v>12.847999999999999</v>
      </c>
      <c r="L127" s="242">
        <f t="shared" si="206"/>
        <v>53.82</v>
      </c>
      <c r="M127" s="26">
        <v>1.6E-2</v>
      </c>
      <c r="N127" s="26">
        <f t="shared" si="195"/>
        <v>1.0278399999999999</v>
      </c>
      <c r="O127" s="241">
        <f t="shared" si="196"/>
        <v>55.318348799999995</v>
      </c>
      <c r="P127" s="243">
        <f t="shared" si="197"/>
        <v>1.0611200000000001</v>
      </c>
      <c r="Q127" s="241">
        <f t="shared" si="198"/>
        <v>68.166348799999994</v>
      </c>
      <c r="R127" s="121"/>
    </row>
    <row r="128" spans="1:18" x14ac:dyDescent="0.35">
      <c r="A128" s="69" t="str">
        <f>IF(TRIM(G128)&lt;&gt;"",COUNTA(G$11:$G336)&amp;"","")</f>
        <v/>
      </c>
      <c r="B128" s="284"/>
      <c r="C128" s="284"/>
      <c r="D128" s="34"/>
      <c r="E128" s="67"/>
      <c r="F128" s="71"/>
      <c r="G128" s="72"/>
      <c r="H128" s="22"/>
      <c r="I128" s="49"/>
      <c r="J128" s="23"/>
      <c r="K128" s="24"/>
      <c r="L128" s="25"/>
      <c r="M128" s="26"/>
      <c r="N128" s="26"/>
      <c r="O128" s="24"/>
      <c r="P128" s="27"/>
      <c r="Q128" s="24"/>
      <c r="R128" s="121"/>
    </row>
    <row r="129" spans="1:18" x14ac:dyDescent="0.35">
      <c r="A129" s="69" t="str">
        <f>IF(TRIM(G129)&lt;&gt;"",COUNTA(G$11:$G129)&amp;"","")</f>
        <v>100</v>
      </c>
      <c r="B129" s="284"/>
      <c r="C129" s="284"/>
      <c r="D129" s="34"/>
      <c r="E129" s="233" t="s">
        <v>154</v>
      </c>
      <c r="F129" s="234">
        <v>6.09</v>
      </c>
      <c r="G129" s="238" t="s">
        <v>83</v>
      </c>
      <c r="H129" s="22"/>
      <c r="I129" s="49"/>
      <c r="J129" s="23"/>
      <c r="K129" s="24"/>
      <c r="L129" s="25"/>
      <c r="M129" s="26"/>
      <c r="N129" s="26"/>
      <c r="O129" s="24"/>
      <c r="P129" s="27"/>
      <c r="Q129" s="24"/>
      <c r="R129" s="121"/>
    </row>
    <row r="130" spans="1:18" x14ac:dyDescent="0.35">
      <c r="A130" s="69" t="str">
        <f>IF(TRIM(G130)&lt;&gt;"",COUNTA(G$11:$G130)&amp;"","")</f>
        <v>101</v>
      </c>
      <c r="B130" s="284"/>
      <c r="C130" s="284"/>
      <c r="D130" s="34"/>
      <c r="E130" s="67" t="s">
        <v>152</v>
      </c>
      <c r="F130" s="71">
        <f>F129/1.33+1</f>
        <v>5.5789473684210522</v>
      </c>
      <c r="G130" s="63" t="s">
        <v>102</v>
      </c>
      <c r="H130" s="22">
        <v>0</v>
      </c>
      <c r="I130" s="49">
        <f t="shared" ref="I130:I131" si="207">IF(F130=0,"",F130+(F130*H130))</f>
        <v>5.5789473684210522</v>
      </c>
      <c r="J130" s="240">
        <f>1.26*12</f>
        <v>15.120000000000001</v>
      </c>
      <c r="K130" s="241">
        <f t="shared" ref="K130:K131" si="208">IF(F130=0,"",J130*I130)</f>
        <v>84.35368421052631</v>
      </c>
      <c r="L130" s="242">
        <f t="shared" ref="L130:L131" si="209">IF(F130=0,"",L$34)</f>
        <v>53.82</v>
      </c>
      <c r="M130" s="26">
        <f>0.052*12</f>
        <v>0.624</v>
      </c>
      <c r="N130" s="26">
        <f t="shared" ref="N130:N131" si="210">IF(F130=0,"",M130*I130)</f>
        <v>3.4812631578947366</v>
      </c>
      <c r="O130" s="241">
        <f t="shared" ref="O130:O131" si="211">IF(F130=0,"",N130*L130)</f>
        <v>187.36158315789473</v>
      </c>
      <c r="P130" s="243">
        <f t="shared" ref="P130:P131" si="212">IF(F130=0,"",(K130+O130)/I130)</f>
        <v>48.703680000000006</v>
      </c>
      <c r="Q130" s="241">
        <f t="shared" ref="Q130:Q131" si="213">IF(F130=0,"",(P130*I130))</f>
        <v>271.71526736842105</v>
      </c>
      <c r="R130" s="121"/>
    </row>
    <row r="131" spans="1:18" x14ac:dyDescent="0.35">
      <c r="A131" s="69" t="str">
        <f>IF(TRIM(G131)&lt;&gt;"",COUNTA(G$11:$G131)&amp;"","")</f>
        <v>102</v>
      </c>
      <c r="B131" s="284"/>
      <c r="C131" s="284"/>
      <c r="D131" s="34"/>
      <c r="E131" s="228" t="s">
        <v>123</v>
      </c>
      <c r="F131" s="71">
        <f>F129</f>
        <v>6.09</v>
      </c>
      <c r="G131" s="63" t="s">
        <v>83</v>
      </c>
      <c r="H131" s="22">
        <v>0.1</v>
      </c>
      <c r="I131" s="49">
        <f t="shared" si="207"/>
        <v>6.6989999999999998</v>
      </c>
      <c r="J131" s="240">
        <v>1.26</v>
      </c>
      <c r="K131" s="241">
        <f t="shared" si="208"/>
        <v>8.4407399999999999</v>
      </c>
      <c r="L131" s="242">
        <f t="shared" si="209"/>
        <v>53.82</v>
      </c>
      <c r="M131" s="26">
        <v>5.1999999999999998E-2</v>
      </c>
      <c r="N131" s="26">
        <f t="shared" si="210"/>
        <v>0.34834799999999999</v>
      </c>
      <c r="O131" s="241">
        <f t="shared" si="211"/>
        <v>18.748089359999998</v>
      </c>
      <c r="P131" s="243">
        <f t="shared" si="212"/>
        <v>4.0586400000000005</v>
      </c>
      <c r="Q131" s="241">
        <f t="shared" si="213"/>
        <v>27.188829360000003</v>
      </c>
      <c r="R131" s="121"/>
    </row>
    <row r="132" spans="1:18" x14ac:dyDescent="0.35">
      <c r="A132" s="69" t="str">
        <f>IF(TRIM(G132)&lt;&gt;"",COUNTA(G$11:$G132)&amp;"","")</f>
        <v>103</v>
      </c>
      <c r="B132" s="284"/>
      <c r="C132" s="284"/>
      <c r="D132" s="34"/>
      <c r="E132" s="228" t="s">
        <v>124</v>
      </c>
      <c r="F132" s="71">
        <f>F129</f>
        <v>6.09</v>
      </c>
      <c r="G132" s="63" t="s">
        <v>83</v>
      </c>
      <c r="H132" s="22">
        <v>0.1</v>
      </c>
      <c r="I132" s="49">
        <f t="shared" ref="I132:I136" si="214">IF(F132=0,"",F132+(F132*H132))</f>
        <v>6.6989999999999998</v>
      </c>
      <c r="J132" s="240">
        <v>1.26</v>
      </c>
      <c r="K132" s="241">
        <f t="shared" ref="K132:K136" si="215">IF(F132=0,"",J132*I132)</f>
        <v>8.4407399999999999</v>
      </c>
      <c r="L132" s="242">
        <f t="shared" ref="L132:L133" si="216">IF(F132=0,"",L$34)</f>
        <v>53.82</v>
      </c>
      <c r="M132" s="26">
        <v>5.1999999999999998E-2</v>
      </c>
      <c r="N132" s="26">
        <f t="shared" ref="N132:N136" si="217">IF(F132=0,"",M132*I132)</f>
        <v>0.34834799999999999</v>
      </c>
      <c r="O132" s="241">
        <f t="shared" ref="O132:O136" si="218">IF(F132=0,"",N132*L132)</f>
        <v>18.748089359999998</v>
      </c>
      <c r="P132" s="243">
        <f t="shared" ref="P132:P136" si="219">IF(F132=0,"",(K132+O132)/I132)</f>
        <v>4.0586400000000005</v>
      </c>
      <c r="Q132" s="241">
        <f t="shared" ref="Q132:Q136" si="220">IF(F132=0,"",(P132*I132))</f>
        <v>27.188829360000003</v>
      </c>
      <c r="R132" s="121"/>
    </row>
    <row r="133" spans="1:18" x14ac:dyDescent="0.35">
      <c r="A133" s="69" t="str">
        <f>IF(TRIM(G133)&lt;&gt;"",COUNTA(G$11:$G133)&amp;"","")</f>
        <v>104</v>
      </c>
      <c r="B133" s="284"/>
      <c r="C133" s="284"/>
      <c r="D133" s="34"/>
      <c r="E133" s="228" t="s">
        <v>125</v>
      </c>
      <c r="F133" s="71">
        <f>(F129*8)+(F129*8.5)</f>
        <v>100.485</v>
      </c>
      <c r="G133" s="63" t="s">
        <v>69</v>
      </c>
      <c r="H133" s="22">
        <v>0.1</v>
      </c>
      <c r="I133" s="49">
        <f t="shared" si="214"/>
        <v>110.5335</v>
      </c>
      <c r="J133" s="240">
        <v>0.62</v>
      </c>
      <c r="K133" s="241">
        <f t="shared" si="215"/>
        <v>68.530770000000004</v>
      </c>
      <c r="L133" s="242">
        <f t="shared" si="216"/>
        <v>53.82</v>
      </c>
      <c r="M133" s="26">
        <v>1.6E-2</v>
      </c>
      <c r="N133" s="26">
        <f t="shared" si="217"/>
        <v>1.7685360000000001</v>
      </c>
      <c r="O133" s="241">
        <f t="shared" si="218"/>
        <v>95.182607520000005</v>
      </c>
      <c r="P133" s="243">
        <f t="shared" si="219"/>
        <v>1.48112</v>
      </c>
      <c r="Q133" s="241">
        <f t="shared" si="220"/>
        <v>163.71337751999999</v>
      </c>
      <c r="R133" s="121"/>
    </row>
    <row r="134" spans="1:18" x14ac:dyDescent="0.35">
      <c r="A134" s="69" t="str">
        <f>IF(TRIM(G134)&lt;&gt;"",COUNTA(G$11:$G134)&amp;"","")</f>
        <v>105</v>
      </c>
      <c r="B134" s="284"/>
      <c r="C134" s="284"/>
      <c r="D134" s="34"/>
      <c r="E134" s="228" t="s">
        <v>153</v>
      </c>
      <c r="F134" s="71">
        <f>(F129/4)*2</f>
        <v>3.0449999999999999</v>
      </c>
      <c r="G134" s="63" t="s">
        <v>83</v>
      </c>
      <c r="H134" s="22">
        <v>0.1</v>
      </c>
      <c r="I134" s="49">
        <f t="shared" si="214"/>
        <v>3.3494999999999999</v>
      </c>
      <c r="J134" s="240">
        <v>1.26</v>
      </c>
      <c r="K134" s="241">
        <f t="shared" si="215"/>
        <v>4.22037</v>
      </c>
      <c r="L134" s="242">
        <f t="shared" ref="L134" si="221">IF(F134=0,"",L$34)</f>
        <v>53.82</v>
      </c>
      <c r="M134" s="26">
        <v>5.1999999999999998E-2</v>
      </c>
      <c r="N134" s="26">
        <f t="shared" si="217"/>
        <v>0.174174</v>
      </c>
      <c r="O134" s="241">
        <f t="shared" si="218"/>
        <v>9.374044679999999</v>
      </c>
      <c r="P134" s="243">
        <f t="shared" si="219"/>
        <v>4.0586400000000005</v>
      </c>
      <c r="Q134" s="241">
        <f t="shared" si="220"/>
        <v>13.594414680000002</v>
      </c>
      <c r="R134" s="121"/>
    </row>
    <row r="135" spans="1:18" x14ac:dyDescent="0.35">
      <c r="A135" s="69" t="str">
        <f>IF(TRIM(G135)&lt;&gt;"",COUNTA(G$11:$G135)&amp;"","")</f>
        <v>106</v>
      </c>
      <c r="B135" s="284"/>
      <c r="C135" s="284"/>
      <c r="D135" s="34"/>
      <c r="E135" s="228" t="s">
        <v>155</v>
      </c>
      <c r="F135" s="71">
        <f>F129*12</f>
        <v>73.08</v>
      </c>
      <c r="G135" s="72" t="s">
        <v>69</v>
      </c>
      <c r="H135" s="22">
        <v>0.1</v>
      </c>
      <c r="I135" s="49">
        <f t="shared" si="214"/>
        <v>80.388000000000005</v>
      </c>
      <c r="J135" s="240">
        <v>0.49</v>
      </c>
      <c r="K135" s="241">
        <f t="shared" si="215"/>
        <v>39.390120000000003</v>
      </c>
      <c r="L135" s="242">
        <f t="shared" ref="L135:L136" si="222">IF(F135=0,"",L$34)</f>
        <v>53.82</v>
      </c>
      <c r="M135" s="26">
        <v>0.01</v>
      </c>
      <c r="N135" s="26">
        <f t="shared" si="217"/>
        <v>0.80388000000000004</v>
      </c>
      <c r="O135" s="241">
        <f t="shared" si="218"/>
        <v>43.264821600000005</v>
      </c>
      <c r="P135" s="243">
        <f t="shared" si="219"/>
        <v>1.0282</v>
      </c>
      <c r="Q135" s="241">
        <f t="shared" si="220"/>
        <v>82.654941600000001</v>
      </c>
      <c r="R135" s="121"/>
    </row>
    <row r="136" spans="1:18" x14ac:dyDescent="0.35">
      <c r="A136" s="69" t="str">
        <f>IF(TRIM(G136)&lt;&gt;"",COUNTA(G$11:$G136)&amp;"","")</f>
        <v>107</v>
      </c>
      <c r="B136" s="284"/>
      <c r="C136" s="284"/>
      <c r="D136" s="34"/>
      <c r="E136" s="67" t="s">
        <v>108</v>
      </c>
      <c r="F136" s="71">
        <f>F129*4</f>
        <v>24.36</v>
      </c>
      <c r="G136" s="63" t="s">
        <v>83</v>
      </c>
      <c r="H136" s="22">
        <v>0.1</v>
      </c>
      <c r="I136" s="49">
        <f t="shared" si="214"/>
        <v>26.795999999999999</v>
      </c>
      <c r="J136" s="240">
        <v>0.2</v>
      </c>
      <c r="K136" s="241">
        <f t="shared" si="215"/>
        <v>5.3592000000000004</v>
      </c>
      <c r="L136" s="242">
        <f t="shared" si="222"/>
        <v>53.82</v>
      </c>
      <c r="M136" s="26">
        <v>1.6E-2</v>
      </c>
      <c r="N136" s="26">
        <f t="shared" si="217"/>
        <v>0.42873600000000001</v>
      </c>
      <c r="O136" s="241">
        <f t="shared" si="218"/>
        <v>23.074571519999999</v>
      </c>
      <c r="P136" s="243">
        <f t="shared" si="219"/>
        <v>1.0611200000000001</v>
      </c>
      <c r="Q136" s="241">
        <f t="shared" si="220"/>
        <v>28.433771520000001</v>
      </c>
      <c r="R136" s="121"/>
    </row>
    <row r="137" spans="1:18" x14ac:dyDescent="0.35">
      <c r="A137" s="69" t="str">
        <f>IF(TRIM(G137)&lt;&gt;"",COUNTA(G$11:$G137)&amp;"","")</f>
        <v/>
      </c>
      <c r="B137" s="284"/>
      <c r="C137" s="284"/>
      <c r="D137" s="34"/>
      <c r="E137" s="67"/>
      <c r="F137" s="71"/>
      <c r="G137" s="72"/>
      <c r="H137" s="22" t="str">
        <f>IF(F137=0,"",0)</f>
        <v/>
      </c>
      <c r="I137" s="49" t="str">
        <f>IF(F137=0,"",F137+(F137*H137))</f>
        <v/>
      </c>
      <c r="J137" s="23" t="str">
        <f>IF(F137=0,"",0)</f>
        <v/>
      </c>
      <c r="K137" s="24" t="str">
        <f>IF(F137=0,"",J137*I137)</f>
        <v/>
      </c>
      <c r="L137" s="25" t="str">
        <f>IF(F137=0,"",L$34)</f>
        <v/>
      </c>
      <c r="M137" s="26" t="str">
        <f>IF(F137=0,"",0)</f>
        <v/>
      </c>
      <c r="N137" s="26" t="str">
        <f>IF(F137=0,"",M137*I137)</f>
        <v/>
      </c>
      <c r="O137" s="24" t="str">
        <f>IF(F137=0,"",N137*L137)</f>
        <v/>
      </c>
      <c r="P137" s="27" t="str">
        <f>IF(F137=0,"",(K137+O137)/I137)</f>
        <v/>
      </c>
      <c r="Q137" s="24" t="str">
        <f>IF(F137=0,"",(P137*I137))</f>
        <v/>
      </c>
      <c r="R137" s="121"/>
    </row>
    <row r="138" spans="1:18" x14ac:dyDescent="0.35">
      <c r="A138" s="69" t="str">
        <f>IF(TRIM(G138)&lt;&gt;"",COUNTA(G$11:$G138)&amp;"","")</f>
        <v>108</v>
      </c>
      <c r="B138" s="284"/>
      <c r="C138" s="284"/>
      <c r="D138" s="34"/>
      <c r="E138" s="233" t="s">
        <v>151</v>
      </c>
      <c r="F138" s="234">
        <v>17.559999999999999</v>
      </c>
      <c r="G138" s="238" t="s">
        <v>83</v>
      </c>
      <c r="H138" s="22"/>
      <c r="I138" s="49"/>
      <c r="J138" s="23"/>
      <c r="K138" s="24"/>
      <c r="L138" s="25"/>
      <c r="M138" s="26"/>
      <c r="N138" s="26"/>
      <c r="O138" s="24"/>
      <c r="P138" s="27"/>
      <c r="Q138" s="24"/>
      <c r="R138" s="121"/>
    </row>
    <row r="139" spans="1:18" x14ac:dyDescent="0.35">
      <c r="A139" s="69" t="str">
        <f>IF(TRIM(G139)&lt;&gt;"",COUNTA(G$11:$G139)&amp;"","")</f>
        <v>109</v>
      </c>
      <c r="B139" s="284"/>
      <c r="C139" s="284"/>
      <c r="D139" s="34"/>
      <c r="E139" s="67" t="s">
        <v>152</v>
      </c>
      <c r="F139" s="71">
        <f>F138/1.33+1</f>
        <v>14.203007518796991</v>
      </c>
      <c r="G139" s="63" t="s">
        <v>102</v>
      </c>
      <c r="H139" s="22">
        <v>0</v>
      </c>
      <c r="I139" s="49">
        <f t="shared" ref="I139:I140" si="223">IF(F139=0,"",F139+(F139*H139))</f>
        <v>14.203007518796991</v>
      </c>
      <c r="J139" s="240">
        <f>1.26*12</f>
        <v>15.120000000000001</v>
      </c>
      <c r="K139" s="241">
        <f t="shared" ref="K139:K140" si="224">IF(F139=0,"",J139*I139)</f>
        <v>214.7494736842105</v>
      </c>
      <c r="L139" s="242">
        <f t="shared" ref="L139:L140" si="225">IF(F139=0,"",L$34)</f>
        <v>53.82</v>
      </c>
      <c r="M139" s="26">
        <f>0.052*12</f>
        <v>0.624</v>
      </c>
      <c r="N139" s="26">
        <f t="shared" ref="N139:N140" si="226">IF(F139=0,"",M139*I139)</f>
        <v>8.8626766917293214</v>
      </c>
      <c r="O139" s="241">
        <f t="shared" ref="O139:O140" si="227">IF(F139=0,"",N139*L139)</f>
        <v>476.9892595488721</v>
      </c>
      <c r="P139" s="243">
        <f t="shared" ref="P139:P140" si="228">IF(F139=0,"",(K139+O139)/I139)</f>
        <v>48.703679999999999</v>
      </c>
      <c r="Q139" s="241">
        <f t="shared" ref="Q139:Q140" si="229">IF(F139=0,"",(P139*I139))</f>
        <v>691.7387332330826</v>
      </c>
      <c r="R139" s="121"/>
    </row>
    <row r="140" spans="1:18" x14ac:dyDescent="0.35">
      <c r="A140" s="69" t="str">
        <f>IF(TRIM(G140)&lt;&gt;"",COUNTA(G$11:$G140)&amp;"","")</f>
        <v>110</v>
      </c>
      <c r="B140" s="284"/>
      <c r="C140" s="284"/>
      <c r="D140" s="34"/>
      <c r="E140" s="228" t="s">
        <v>123</v>
      </c>
      <c r="F140" s="71">
        <f>F138</f>
        <v>17.559999999999999</v>
      </c>
      <c r="G140" s="63" t="s">
        <v>83</v>
      </c>
      <c r="H140" s="22">
        <v>0.1</v>
      </c>
      <c r="I140" s="49">
        <f t="shared" si="223"/>
        <v>19.315999999999999</v>
      </c>
      <c r="J140" s="240">
        <v>1.26</v>
      </c>
      <c r="K140" s="241">
        <f t="shared" si="224"/>
        <v>24.338159999999998</v>
      </c>
      <c r="L140" s="242">
        <f t="shared" si="225"/>
        <v>53.82</v>
      </c>
      <c r="M140" s="26">
        <v>5.1999999999999998E-2</v>
      </c>
      <c r="N140" s="26">
        <f t="shared" si="226"/>
        <v>1.004432</v>
      </c>
      <c r="O140" s="241">
        <f t="shared" si="227"/>
        <v>54.058530240000003</v>
      </c>
      <c r="P140" s="243">
        <f t="shared" si="228"/>
        <v>4.0586400000000005</v>
      </c>
      <c r="Q140" s="241">
        <f t="shared" si="229"/>
        <v>78.396690239999998</v>
      </c>
      <c r="R140" s="121"/>
    </row>
    <row r="141" spans="1:18" x14ac:dyDescent="0.35">
      <c r="A141" s="69" t="str">
        <f>IF(TRIM(G141)&lt;&gt;"",COUNTA(G$11:$G141)&amp;"","")</f>
        <v>111</v>
      </c>
      <c r="B141" s="284"/>
      <c r="C141" s="284"/>
      <c r="D141" s="34"/>
      <c r="E141" s="228" t="s">
        <v>124</v>
      </c>
      <c r="F141" s="71">
        <f>F138</f>
        <v>17.559999999999999</v>
      </c>
      <c r="G141" s="63" t="s">
        <v>83</v>
      </c>
      <c r="H141" s="22">
        <v>0.1</v>
      </c>
      <c r="I141" s="49">
        <f t="shared" ref="I141:I144" si="230">IF(F141=0,"",F141+(F141*H141))</f>
        <v>19.315999999999999</v>
      </c>
      <c r="J141" s="240">
        <v>1.26</v>
      </c>
      <c r="K141" s="241">
        <f t="shared" ref="K141:K144" si="231">IF(F141=0,"",J141*I141)</f>
        <v>24.338159999999998</v>
      </c>
      <c r="L141" s="242">
        <f t="shared" ref="L141:L142" si="232">IF(F141=0,"",L$34)</f>
        <v>53.82</v>
      </c>
      <c r="M141" s="26">
        <v>5.1999999999999998E-2</v>
      </c>
      <c r="N141" s="26">
        <f t="shared" ref="N141:N144" si="233">IF(F141=0,"",M141*I141)</f>
        <v>1.004432</v>
      </c>
      <c r="O141" s="241">
        <f t="shared" ref="O141:O144" si="234">IF(F141=0,"",N141*L141)</f>
        <v>54.058530240000003</v>
      </c>
      <c r="P141" s="243">
        <f t="shared" ref="P141:P144" si="235">IF(F141=0,"",(K141+O141)/I141)</f>
        <v>4.0586400000000005</v>
      </c>
      <c r="Q141" s="241">
        <f t="shared" ref="Q141:Q144" si="236">IF(F141=0,"",(P141*I141))</f>
        <v>78.396690239999998</v>
      </c>
      <c r="R141" s="121"/>
    </row>
    <row r="142" spans="1:18" x14ac:dyDescent="0.35">
      <c r="A142" s="69" t="str">
        <f>IF(TRIM(G142)&lt;&gt;"",COUNTA(G$11:$G142)&amp;"","")</f>
        <v>112</v>
      </c>
      <c r="B142" s="284"/>
      <c r="C142" s="284"/>
      <c r="D142" s="34"/>
      <c r="E142" s="228" t="s">
        <v>125</v>
      </c>
      <c r="F142" s="71">
        <f>(F138*8)+(F138*8.5)</f>
        <v>289.74</v>
      </c>
      <c r="G142" s="63" t="s">
        <v>69</v>
      </c>
      <c r="H142" s="22">
        <v>0.1</v>
      </c>
      <c r="I142" s="49">
        <f t="shared" si="230"/>
        <v>318.714</v>
      </c>
      <c r="J142" s="240">
        <v>0.62</v>
      </c>
      <c r="K142" s="241">
        <f t="shared" si="231"/>
        <v>197.60267999999999</v>
      </c>
      <c r="L142" s="242">
        <f t="shared" si="232"/>
        <v>53.82</v>
      </c>
      <c r="M142" s="26">
        <v>1.6E-2</v>
      </c>
      <c r="N142" s="26">
        <f t="shared" si="233"/>
        <v>5.099424</v>
      </c>
      <c r="O142" s="241">
        <f t="shared" si="234"/>
        <v>274.45099968</v>
      </c>
      <c r="P142" s="243">
        <f t="shared" si="235"/>
        <v>1.4811199999999998</v>
      </c>
      <c r="Q142" s="241">
        <f t="shared" si="236"/>
        <v>472.0536796799999</v>
      </c>
      <c r="R142" s="121"/>
    </row>
    <row r="143" spans="1:18" x14ac:dyDescent="0.35">
      <c r="A143" s="69" t="str">
        <f>IF(TRIM(G143)&lt;&gt;"",COUNTA(G$11:$G143)&amp;"","")</f>
        <v>113</v>
      </c>
      <c r="B143" s="284"/>
      <c r="C143" s="284"/>
      <c r="D143" s="34"/>
      <c r="E143" s="228" t="s">
        <v>153</v>
      </c>
      <c r="F143" s="71">
        <f>(F138/4)*2</f>
        <v>8.7799999999999994</v>
      </c>
      <c r="G143" s="63" t="s">
        <v>83</v>
      </c>
      <c r="H143" s="22">
        <v>0.1</v>
      </c>
      <c r="I143" s="49">
        <f t="shared" si="230"/>
        <v>9.6579999999999995</v>
      </c>
      <c r="J143" s="240">
        <v>1.26</v>
      </c>
      <c r="K143" s="241">
        <f t="shared" si="231"/>
        <v>12.169079999999999</v>
      </c>
      <c r="L143" s="242">
        <f t="shared" ref="L143:L144" si="237">IF(F143=0,"",L$34)</f>
        <v>53.82</v>
      </c>
      <c r="M143" s="26">
        <v>5.1999999999999998E-2</v>
      </c>
      <c r="N143" s="26">
        <f t="shared" si="233"/>
        <v>0.502216</v>
      </c>
      <c r="O143" s="241">
        <f t="shared" si="234"/>
        <v>27.029265120000002</v>
      </c>
      <c r="P143" s="243">
        <f t="shared" si="235"/>
        <v>4.0586400000000005</v>
      </c>
      <c r="Q143" s="241">
        <f t="shared" si="236"/>
        <v>39.198345119999999</v>
      </c>
      <c r="R143" s="121"/>
    </row>
    <row r="144" spans="1:18" x14ac:dyDescent="0.35">
      <c r="A144" s="69" t="str">
        <f>IF(TRIM(G144)&lt;&gt;"",COUNTA(G$11:$G144)&amp;"","")</f>
        <v>114</v>
      </c>
      <c r="B144" s="284"/>
      <c r="C144" s="284"/>
      <c r="D144" s="34"/>
      <c r="E144" s="67" t="s">
        <v>108</v>
      </c>
      <c r="F144" s="71">
        <f>F138*4</f>
        <v>70.239999999999995</v>
      </c>
      <c r="G144" s="63" t="s">
        <v>83</v>
      </c>
      <c r="H144" s="22">
        <v>0.1</v>
      </c>
      <c r="I144" s="49">
        <f t="shared" si="230"/>
        <v>77.263999999999996</v>
      </c>
      <c r="J144" s="240">
        <v>0.2</v>
      </c>
      <c r="K144" s="241">
        <f t="shared" si="231"/>
        <v>15.4528</v>
      </c>
      <c r="L144" s="242">
        <f t="shared" si="237"/>
        <v>53.82</v>
      </c>
      <c r="M144" s="26">
        <v>1.6E-2</v>
      </c>
      <c r="N144" s="26">
        <f t="shared" si="233"/>
        <v>1.236224</v>
      </c>
      <c r="O144" s="241">
        <f t="shared" si="234"/>
        <v>66.533575679999998</v>
      </c>
      <c r="P144" s="243">
        <f t="shared" si="235"/>
        <v>1.0611200000000001</v>
      </c>
      <c r="Q144" s="241">
        <f t="shared" si="236"/>
        <v>81.986375679999995</v>
      </c>
      <c r="R144" s="121"/>
    </row>
    <row r="145" spans="1:18" x14ac:dyDescent="0.35">
      <c r="A145" s="69" t="str">
        <f>IF(TRIM(G145)&lt;&gt;"",COUNTA(G$11:$G303)&amp;"","")</f>
        <v/>
      </c>
      <c r="B145" s="284"/>
      <c r="C145" s="284"/>
      <c r="D145" s="34"/>
      <c r="E145" s="67"/>
      <c r="F145" s="71"/>
      <c r="G145" s="63"/>
      <c r="H145" s="22"/>
      <c r="I145" s="49"/>
      <c r="J145" s="23"/>
      <c r="K145" s="24"/>
      <c r="L145" s="25"/>
      <c r="M145" s="26"/>
      <c r="N145" s="26"/>
      <c r="O145" s="24"/>
      <c r="P145" s="27"/>
      <c r="Q145" s="24"/>
      <c r="R145" s="121"/>
    </row>
    <row r="146" spans="1:18" x14ac:dyDescent="0.35">
      <c r="A146" s="69" t="str">
        <f>IF(TRIM(G146)&lt;&gt;"",COUNTA(G$11:$G146)&amp;"","")</f>
        <v>115</v>
      </c>
      <c r="B146" s="284"/>
      <c r="C146" s="284"/>
      <c r="D146" s="34"/>
      <c r="E146" s="233" t="s">
        <v>182</v>
      </c>
      <c r="F146" s="234">
        <v>46.08</v>
      </c>
      <c r="G146" s="238" t="s">
        <v>83</v>
      </c>
      <c r="H146" s="22"/>
      <c r="I146" s="49"/>
      <c r="J146" s="23"/>
      <c r="K146" s="24"/>
      <c r="L146" s="25"/>
      <c r="M146" s="26"/>
      <c r="N146" s="26"/>
      <c r="O146" s="24"/>
      <c r="P146" s="27"/>
      <c r="Q146" s="24"/>
      <c r="R146" s="121"/>
    </row>
    <row r="147" spans="1:18" x14ac:dyDescent="0.35">
      <c r="A147" s="69" t="str">
        <f>IF(TRIM(G147)&lt;&gt;"",COUNTA(G$11:$G147)&amp;"","")</f>
        <v>116</v>
      </c>
      <c r="B147" s="284"/>
      <c r="C147" s="284"/>
      <c r="D147" s="34"/>
      <c r="E147" s="67" t="s">
        <v>122</v>
      </c>
      <c r="F147" s="71">
        <f>F146/1.33+1</f>
        <v>35.646616541353382</v>
      </c>
      <c r="G147" s="63" t="s">
        <v>102</v>
      </c>
      <c r="H147" s="22">
        <v>0</v>
      </c>
      <c r="I147" s="49">
        <f t="shared" ref="I147:I148" si="238">IF(F147=0,"",F147+(F147*H147))</f>
        <v>35.646616541353382</v>
      </c>
      <c r="J147" s="240">
        <f>1.26*14.5</f>
        <v>18.27</v>
      </c>
      <c r="K147" s="241">
        <f t="shared" ref="K147:K148" si="239">IF(F147=0,"",J147*I147)</f>
        <v>651.26368421052632</v>
      </c>
      <c r="L147" s="242">
        <f t="shared" ref="L147:L148" si="240">IF(F147=0,"",L$34)</f>
        <v>53.82</v>
      </c>
      <c r="M147" s="26">
        <f>0.052*14.5</f>
        <v>0.754</v>
      </c>
      <c r="N147" s="26">
        <f t="shared" ref="N147:N148" si="241">IF(F147=0,"",M147*I147)</f>
        <v>26.877548872180451</v>
      </c>
      <c r="O147" s="241">
        <f t="shared" ref="O147:O148" si="242">IF(F147=0,"",N147*L147)</f>
        <v>1446.549680300752</v>
      </c>
      <c r="P147" s="243">
        <f t="shared" ref="P147:P148" si="243">IF(F147=0,"",(K147+O147)/I147)</f>
        <v>58.850280000000012</v>
      </c>
      <c r="Q147" s="241">
        <f t="shared" ref="Q147:Q148" si="244">IF(F147=0,"",(P147*I147))</f>
        <v>2097.8133645112785</v>
      </c>
      <c r="R147" s="121"/>
    </row>
    <row r="148" spans="1:18" x14ac:dyDescent="0.35">
      <c r="A148" s="69" t="str">
        <f>IF(TRIM(G148)&lt;&gt;"",COUNTA(G$11:$G148)&amp;"","")</f>
        <v>117</v>
      </c>
      <c r="B148" s="284"/>
      <c r="C148" s="284"/>
      <c r="D148" s="34"/>
      <c r="E148" s="228" t="s">
        <v>123</v>
      </c>
      <c r="F148" s="71">
        <f>F146</f>
        <v>46.08</v>
      </c>
      <c r="G148" s="63" t="s">
        <v>83</v>
      </c>
      <c r="H148" s="22">
        <v>0.1</v>
      </c>
      <c r="I148" s="49">
        <f t="shared" si="238"/>
        <v>50.687999999999995</v>
      </c>
      <c r="J148" s="240">
        <v>1.26</v>
      </c>
      <c r="K148" s="241">
        <f t="shared" si="239"/>
        <v>63.866879999999995</v>
      </c>
      <c r="L148" s="242">
        <f t="shared" si="240"/>
        <v>53.82</v>
      </c>
      <c r="M148" s="26">
        <v>5.1999999999999998E-2</v>
      </c>
      <c r="N148" s="26">
        <f t="shared" si="241"/>
        <v>2.6357759999999995</v>
      </c>
      <c r="O148" s="241">
        <f t="shared" si="242"/>
        <v>141.85746431999996</v>
      </c>
      <c r="P148" s="243">
        <f t="shared" si="243"/>
        <v>4.0586399999999996</v>
      </c>
      <c r="Q148" s="241">
        <f t="shared" si="244"/>
        <v>205.72434431999997</v>
      </c>
      <c r="R148" s="121"/>
    </row>
    <row r="149" spans="1:18" x14ac:dyDescent="0.35">
      <c r="A149" s="69" t="str">
        <f>IF(TRIM(G149)&lt;&gt;"",COUNTA(G$11:$G149)&amp;"","")</f>
        <v>118</v>
      </c>
      <c r="B149" s="284"/>
      <c r="C149" s="284"/>
      <c r="D149" s="34"/>
      <c r="E149" s="228" t="s">
        <v>124</v>
      </c>
      <c r="F149" s="71">
        <f>F146</f>
        <v>46.08</v>
      </c>
      <c r="G149" s="63" t="s">
        <v>83</v>
      </c>
      <c r="H149" s="22">
        <v>0.1</v>
      </c>
      <c r="I149" s="49">
        <f t="shared" ref="I149:I152" si="245">IF(F149=0,"",F149+(F149*H149))</f>
        <v>50.687999999999995</v>
      </c>
      <c r="J149" s="240">
        <v>1.26</v>
      </c>
      <c r="K149" s="241">
        <f t="shared" ref="K149:K152" si="246">IF(F149=0,"",J149*I149)</f>
        <v>63.866879999999995</v>
      </c>
      <c r="L149" s="242">
        <f t="shared" ref="L149:L150" si="247">IF(F149=0,"",L$34)</f>
        <v>53.82</v>
      </c>
      <c r="M149" s="26">
        <v>5.1999999999999998E-2</v>
      </c>
      <c r="N149" s="26">
        <f t="shared" ref="N149:N152" si="248">IF(F149=0,"",M149*I149)</f>
        <v>2.6357759999999995</v>
      </c>
      <c r="O149" s="241">
        <f t="shared" ref="O149:O152" si="249">IF(F149=0,"",N149*L149)</f>
        <v>141.85746431999996</v>
      </c>
      <c r="P149" s="243">
        <f t="shared" ref="P149:P152" si="250">IF(F149=0,"",(K149+O149)/I149)</f>
        <v>4.0586399999999996</v>
      </c>
      <c r="Q149" s="241">
        <f t="shared" ref="Q149:Q152" si="251">IF(F149=0,"",(P149*I149))</f>
        <v>205.72434431999997</v>
      </c>
      <c r="R149" s="121"/>
    </row>
    <row r="150" spans="1:18" x14ac:dyDescent="0.35">
      <c r="A150" s="69" t="str">
        <f>IF(TRIM(G150)&lt;&gt;"",COUNTA(G$11:$G150)&amp;"","")</f>
        <v>119</v>
      </c>
      <c r="B150" s="284"/>
      <c r="C150" s="284"/>
      <c r="D150" s="34"/>
      <c r="E150" s="228" t="s">
        <v>125</v>
      </c>
      <c r="F150" s="71">
        <f>F146*8*2</f>
        <v>737.28</v>
      </c>
      <c r="G150" s="63" t="s">
        <v>69</v>
      </c>
      <c r="H150" s="22">
        <v>0.1</v>
      </c>
      <c r="I150" s="49">
        <f t="shared" si="245"/>
        <v>811.00799999999992</v>
      </c>
      <c r="J150" s="240">
        <v>0.62</v>
      </c>
      <c r="K150" s="241">
        <f t="shared" si="246"/>
        <v>502.82495999999998</v>
      </c>
      <c r="L150" s="242">
        <f t="shared" si="247"/>
        <v>53.82</v>
      </c>
      <c r="M150" s="26">
        <v>1.6E-2</v>
      </c>
      <c r="N150" s="26">
        <f t="shared" si="248"/>
        <v>12.976127999999999</v>
      </c>
      <c r="O150" s="241">
        <f t="shared" si="249"/>
        <v>698.37520896000001</v>
      </c>
      <c r="P150" s="243">
        <f t="shared" si="250"/>
        <v>1.48112</v>
      </c>
      <c r="Q150" s="241">
        <f t="shared" si="251"/>
        <v>1201.2001689599999</v>
      </c>
      <c r="R150" s="121"/>
    </row>
    <row r="151" spans="1:18" x14ac:dyDescent="0.35">
      <c r="A151" s="69"/>
      <c r="B151" s="284"/>
      <c r="C151" s="284"/>
      <c r="D151" s="34"/>
      <c r="E151" s="228" t="s">
        <v>155</v>
      </c>
      <c r="F151" s="71">
        <f>F146*8</f>
        <v>368.64</v>
      </c>
      <c r="G151" s="63" t="s">
        <v>69</v>
      </c>
      <c r="H151" s="22">
        <v>0.1</v>
      </c>
      <c r="I151" s="49">
        <f t="shared" si="245"/>
        <v>405.50399999999996</v>
      </c>
      <c r="J151" s="240">
        <v>0.49</v>
      </c>
      <c r="K151" s="241">
        <f t="shared" si="246"/>
        <v>198.69695999999999</v>
      </c>
      <c r="L151" s="242">
        <f t="shared" ref="L151:L152" si="252">IF(F151=0,"",L$34)</f>
        <v>53.82</v>
      </c>
      <c r="M151" s="26">
        <v>0.01</v>
      </c>
      <c r="N151" s="26">
        <f t="shared" si="248"/>
        <v>4.05504</v>
      </c>
      <c r="O151" s="241">
        <f t="shared" si="249"/>
        <v>218.24225279999999</v>
      </c>
      <c r="P151" s="243">
        <f t="shared" si="250"/>
        <v>1.0282</v>
      </c>
      <c r="Q151" s="241">
        <f t="shared" si="251"/>
        <v>416.93921279999995</v>
      </c>
      <c r="R151" s="121"/>
    </row>
    <row r="152" spans="1:18" x14ac:dyDescent="0.35">
      <c r="A152" s="69" t="str">
        <f>IF(TRIM(G152)&lt;&gt;"",COUNTA(G$11:$G152)&amp;"","")</f>
        <v>121</v>
      </c>
      <c r="B152" s="284"/>
      <c r="C152" s="284"/>
      <c r="D152" s="34"/>
      <c r="E152" s="67" t="s">
        <v>108</v>
      </c>
      <c r="F152" s="71">
        <f>F146*4</f>
        <v>184.32</v>
      </c>
      <c r="G152" s="63" t="s">
        <v>83</v>
      </c>
      <c r="H152" s="22">
        <v>0.1</v>
      </c>
      <c r="I152" s="49">
        <f t="shared" si="245"/>
        <v>202.75199999999998</v>
      </c>
      <c r="J152" s="240">
        <v>0.2</v>
      </c>
      <c r="K152" s="241">
        <f t="shared" si="246"/>
        <v>40.550399999999996</v>
      </c>
      <c r="L152" s="242">
        <f t="shared" si="252"/>
        <v>53.82</v>
      </c>
      <c r="M152" s="26">
        <v>1.6E-2</v>
      </c>
      <c r="N152" s="26">
        <f t="shared" si="248"/>
        <v>3.2440319999999998</v>
      </c>
      <c r="O152" s="241">
        <f t="shared" si="249"/>
        <v>174.59380224</v>
      </c>
      <c r="P152" s="243">
        <f t="shared" si="250"/>
        <v>1.0611200000000001</v>
      </c>
      <c r="Q152" s="241">
        <f t="shared" si="251"/>
        <v>215.14420224</v>
      </c>
      <c r="R152" s="121"/>
    </row>
    <row r="153" spans="1:18" x14ac:dyDescent="0.35">
      <c r="A153" s="69"/>
      <c r="B153" s="284"/>
      <c r="C153" s="284"/>
      <c r="D153" s="34"/>
      <c r="E153" s="67"/>
      <c r="F153" s="71"/>
      <c r="G153" s="72"/>
      <c r="H153" s="22"/>
      <c r="I153" s="49"/>
      <c r="J153" s="23"/>
      <c r="K153" s="24"/>
      <c r="L153" s="25"/>
      <c r="M153" s="26"/>
      <c r="N153" s="26"/>
      <c r="O153" s="24"/>
      <c r="P153" s="27"/>
      <c r="Q153" s="24"/>
      <c r="R153" s="121"/>
    </row>
    <row r="154" spans="1:18" ht="19.5" customHeight="1" x14ac:dyDescent="0.35">
      <c r="A154" s="69" t="str">
        <f>IF(TRIM(G154)&lt;&gt;"",COUNTA(G$11:$G154)&amp;"","")</f>
        <v>122</v>
      </c>
      <c r="B154" s="284"/>
      <c r="C154" s="284"/>
      <c r="D154" s="34"/>
      <c r="E154" s="237" t="s">
        <v>134</v>
      </c>
      <c r="F154" s="234">
        <v>60.41</v>
      </c>
      <c r="G154" s="238" t="s">
        <v>83</v>
      </c>
      <c r="H154" s="22"/>
      <c r="I154" s="49"/>
      <c r="J154" s="23"/>
      <c r="K154" s="24"/>
      <c r="L154" s="25"/>
      <c r="M154" s="26"/>
      <c r="N154" s="26"/>
      <c r="O154" s="24"/>
      <c r="P154" s="27"/>
      <c r="Q154" s="24"/>
      <c r="R154" s="121"/>
    </row>
    <row r="155" spans="1:18" x14ac:dyDescent="0.35">
      <c r="A155" s="69" t="str">
        <f>IF(TRIM(G155)&lt;&gt;"",COUNTA(G$11:$G155)&amp;"","")</f>
        <v>123</v>
      </c>
      <c r="B155" s="284"/>
      <c r="C155" s="284"/>
      <c r="D155" s="34"/>
      <c r="E155" s="67" t="s">
        <v>128</v>
      </c>
      <c r="F155" s="71">
        <f>F154/1.33+1</f>
        <v>46.421052631578945</v>
      </c>
      <c r="G155" s="63" t="s">
        <v>102</v>
      </c>
      <c r="H155" s="22">
        <v>0</v>
      </c>
      <c r="I155" s="49">
        <f t="shared" ref="I155:I156" si="253">IF(F155=0,"",F155+(F155*H155))</f>
        <v>46.421052631578945</v>
      </c>
      <c r="J155" s="240">
        <f>1.26*15.5</f>
        <v>19.53</v>
      </c>
      <c r="K155" s="241">
        <f t="shared" ref="K155:K156" si="254">IF(F155=0,"",J155*I155)</f>
        <v>906.6031578947368</v>
      </c>
      <c r="L155" s="242">
        <f t="shared" ref="L155:L156" si="255">IF(F155=0,"",L$34)</f>
        <v>53.82</v>
      </c>
      <c r="M155" s="26">
        <f>0.052*15.5</f>
        <v>0.80599999999999994</v>
      </c>
      <c r="N155" s="26">
        <f t="shared" ref="N155:N156" si="256">IF(F155=0,"",M155*I155)</f>
        <v>37.415368421052627</v>
      </c>
      <c r="O155" s="241">
        <f t="shared" ref="O155:O156" si="257">IF(F155=0,"",N155*L155)</f>
        <v>2013.6951284210525</v>
      </c>
      <c r="P155" s="243">
        <f t="shared" ref="P155:P156" si="258">IF(F155=0,"",(K155+O155)/I155)</f>
        <v>62.908920000000002</v>
      </c>
      <c r="Q155" s="241">
        <f t="shared" ref="Q155:Q156" si="259">IF(F155=0,"",(P155*I155))</f>
        <v>2920.2982863157895</v>
      </c>
      <c r="R155" s="121"/>
    </row>
    <row r="156" spans="1:18" x14ac:dyDescent="0.35">
      <c r="A156" s="69" t="str">
        <f>IF(TRIM(G156)&lt;&gt;"",COUNTA(G$11:$G156)&amp;"","")</f>
        <v>124</v>
      </c>
      <c r="B156" s="284"/>
      <c r="C156" s="284"/>
      <c r="D156" s="34"/>
      <c r="E156" s="228" t="s">
        <v>123</v>
      </c>
      <c r="F156" s="71">
        <f>F154</f>
        <v>60.41</v>
      </c>
      <c r="G156" s="63" t="s">
        <v>83</v>
      </c>
      <c r="H156" s="22">
        <v>0.1</v>
      </c>
      <c r="I156" s="49">
        <f t="shared" si="253"/>
        <v>66.450999999999993</v>
      </c>
      <c r="J156" s="240">
        <v>1.26</v>
      </c>
      <c r="K156" s="241">
        <f t="shared" si="254"/>
        <v>83.728259999999992</v>
      </c>
      <c r="L156" s="242">
        <f t="shared" si="255"/>
        <v>53.82</v>
      </c>
      <c r="M156" s="26">
        <v>5.1999999999999998E-2</v>
      </c>
      <c r="N156" s="26">
        <f t="shared" si="256"/>
        <v>3.4554519999999993</v>
      </c>
      <c r="O156" s="241">
        <f t="shared" si="257"/>
        <v>185.97242663999995</v>
      </c>
      <c r="P156" s="243">
        <f t="shared" si="258"/>
        <v>4.0586399999999996</v>
      </c>
      <c r="Q156" s="241">
        <f t="shared" si="259"/>
        <v>269.70068663999996</v>
      </c>
      <c r="R156" s="121"/>
    </row>
    <row r="157" spans="1:18" x14ac:dyDescent="0.35">
      <c r="A157" s="69" t="str">
        <f>IF(TRIM(G157)&lt;&gt;"",COUNTA(G$11:$G157)&amp;"","")</f>
        <v>125</v>
      </c>
      <c r="B157" s="284"/>
      <c r="C157" s="284"/>
      <c r="D157" s="34"/>
      <c r="E157" s="228" t="s">
        <v>124</v>
      </c>
      <c r="F157" s="71">
        <f>F154</f>
        <v>60.41</v>
      </c>
      <c r="G157" s="63" t="s">
        <v>83</v>
      </c>
      <c r="H157" s="22">
        <v>0.1</v>
      </c>
      <c r="I157" s="49">
        <f t="shared" ref="I157:I158" si="260">IF(F157=0,"",F157+(F157*H157))</f>
        <v>66.450999999999993</v>
      </c>
      <c r="J157" s="240">
        <v>1.26</v>
      </c>
      <c r="K157" s="241">
        <f t="shared" ref="K157:K158" si="261">IF(F157=0,"",J157*I157)</f>
        <v>83.728259999999992</v>
      </c>
      <c r="L157" s="242">
        <f t="shared" ref="L157:L375" si="262">IF(F157=0,"",L$34)</f>
        <v>53.82</v>
      </c>
      <c r="M157" s="26">
        <v>5.1999999999999998E-2</v>
      </c>
      <c r="N157" s="26">
        <f t="shared" ref="N157:N158" si="263">IF(F157=0,"",M157*I157)</f>
        <v>3.4554519999999993</v>
      </c>
      <c r="O157" s="241">
        <f t="shared" ref="O157:O158" si="264">IF(F157=0,"",N157*L157)</f>
        <v>185.97242663999995</v>
      </c>
      <c r="P157" s="243">
        <f t="shared" ref="P157:P372" si="265">IF(F157=0,"",(K157+O157)/I157)</f>
        <v>4.0586399999999996</v>
      </c>
      <c r="Q157" s="241">
        <f t="shared" ref="Q157:Q375" si="266">IF(F157=0,"",(P157*I157))</f>
        <v>269.70068663999996</v>
      </c>
      <c r="R157" s="121"/>
    </row>
    <row r="158" spans="1:18" x14ac:dyDescent="0.35">
      <c r="A158" s="69" t="str">
        <f>IF(TRIM(G158)&lt;&gt;"",COUNTA(G$11:$G158)&amp;"","")</f>
        <v>126</v>
      </c>
      <c r="B158" s="284"/>
      <c r="C158" s="284"/>
      <c r="D158" s="34"/>
      <c r="E158" s="228" t="s">
        <v>125</v>
      </c>
      <c r="F158" s="71">
        <f>(F154*14.5)+(F154*14)</f>
        <v>1721.6849999999999</v>
      </c>
      <c r="G158" s="63" t="s">
        <v>69</v>
      </c>
      <c r="H158" s="22">
        <v>0.1</v>
      </c>
      <c r="I158" s="49">
        <f t="shared" si="260"/>
        <v>1893.8534999999999</v>
      </c>
      <c r="J158" s="240">
        <v>0.62</v>
      </c>
      <c r="K158" s="241">
        <f t="shared" si="261"/>
        <v>1174.1891699999999</v>
      </c>
      <c r="L158" s="242">
        <f t="shared" si="262"/>
        <v>53.82</v>
      </c>
      <c r="M158" s="26">
        <v>1.6E-2</v>
      </c>
      <c r="N158" s="26">
        <f t="shared" si="263"/>
        <v>30.301656000000001</v>
      </c>
      <c r="O158" s="241">
        <f t="shared" si="264"/>
        <v>1630.8351259200001</v>
      </c>
      <c r="P158" s="243">
        <f t="shared" si="265"/>
        <v>1.48112</v>
      </c>
      <c r="Q158" s="241">
        <f t="shared" si="266"/>
        <v>2805.02429592</v>
      </c>
      <c r="R158" s="121"/>
    </row>
    <row r="159" spans="1:18" x14ac:dyDescent="0.35">
      <c r="A159" s="69" t="str">
        <f>IF(TRIM(G159)&lt;&gt;"",COUNTA(G$11:$G159)&amp;"","")</f>
        <v>127</v>
      </c>
      <c r="B159" s="284"/>
      <c r="C159" s="284"/>
      <c r="D159" s="34"/>
      <c r="E159" s="67" t="s">
        <v>126</v>
      </c>
      <c r="F159" s="71">
        <f>F154*13.5</f>
        <v>815.53499999999997</v>
      </c>
      <c r="G159" s="63" t="s">
        <v>69</v>
      </c>
      <c r="H159" s="22">
        <v>0.1</v>
      </c>
      <c r="I159" s="49">
        <f t="shared" ref="I159:I166" si="267">IF(F159=0,"",F159+(F159*H159))</f>
        <v>897.08849999999995</v>
      </c>
      <c r="J159" s="240">
        <f>25.39/32</f>
        <v>0.79343750000000002</v>
      </c>
      <c r="K159" s="241">
        <f t="shared" ref="K159:K166" si="268">IF(F159=0,"",J159*I159)</f>
        <v>711.78365671874997</v>
      </c>
      <c r="L159" s="242">
        <f t="shared" ref="L159:L166" si="269">IF(F159=0,"",L$34)</f>
        <v>53.82</v>
      </c>
      <c r="M159" s="26">
        <v>1.6E-2</v>
      </c>
      <c r="N159" s="26">
        <f t="shared" ref="N159:N166" si="270">IF(F159=0,"",M159*I159)</f>
        <v>14.353415999999999</v>
      </c>
      <c r="O159" s="241">
        <f t="shared" ref="O159:O166" si="271">IF(F159=0,"",N159*L159)</f>
        <v>772.50084912</v>
      </c>
      <c r="P159" s="243">
        <f t="shared" ref="P159:P166" si="272">IF(F159=0,"",(K159+O159)/I159)</f>
        <v>1.6545575000000001</v>
      </c>
      <c r="Q159" s="241">
        <f t="shared" ref="Q159:Q166" si="273">IF(F159=0,"",(P159*I159))</f>
        <v>1484.28450583875</v>
      </c>
      <c r="R159" s="121"/>
    </row>
    <row r="160" spans="1:18" x14ac:dyDescent="0.35">
      <c r="A160" s="69" t="str">
        <f>IF(TRIM(G160)&lt;&gt;"",COUNTA(G$11:$G160)&amp;"","")</f>
        <v>128</v>
      </c>
      <c r="B160" s="284"/>
      <c r="C160" s="284"/>
      <c r="D160" s="34"/>
      <c r="E160" s="67" t="s">
        <v>127</v>
      </c>
      <c r="F160" s="71">
        <f>F154/4</f>
        <v>15.102499999999999</v>
      </c>
      <c r="G160" s="63" t="s">
        <v>83</v>
      </c>
      <c r="H160" s="22">
        <v>0.1</v>
      </c>
      <c r="I160" s="49">
        <f t="shared" si="267"/>
        <v>16.612749999999998</v>
      </c>
      <c r="J160" s="240">
        <v>1.26</v>
      </c>
      <c r="K160" s="241">
        <f t="shared" si="268"/>
        <v>20.932064999999998</v>
      </c>
      <c r="L160" s="242">
        <f t="shared" si="269"/>
        <v>53.82</v>
      </c>
      <c r="M160" s="26">
        <v>5.1999999999999998E-2</v>
      </c>
      <c r="N160" s="26">
        <f t="shared" si="270"/>
        <v>0.86386299999999983</v>
      </c>
      <c r="O160" s="241">
        <f t="shared" si="271"/>
        <v>46.493106659999988</v>
      </c>
      <c r="P160" s="243">
        <f t="shared" si="272"/>
        <v>4.0586399999999996</v>
      </c>
      <c r="Q160" s="241">
        <f t="shared" si="273"/>
        <v>67.42517165999999</v>
      </c>
      <c r="R160" s="121"/>
    </row>
    <row r="161" spans="1:18" x14ac:dyDescent="0.35">
      <c r="A161" s="69" t="str">
        <f>IF(TRIM(G161)&lt;&gt;"",COUNTA(G$11:$G161)&amp;"","")</f>
        <v>129</v>
      </c>
      <c r="B161" s="284"/>
      <c r="C161" s="284"/>
      <c r="D161" s="34"/>
      <c r="E161" s="228" t="s">
        <v>162</v>
      </c>
      <c r="F161" s="71">
        <f>F154*15.5</f>
        <v>936.3549999999999</v>
      </c>
      <c r="G161" s="63" t="s">
        <v>69</v>
      </c>
      <c r="H161" s="22">
        <v>0.1</v>
      </c>
      <c r="I161" s="49">
        <f t="shared" si="267"/>
        <v>1029.9904999999999</v>
      </c>
      <c r="J161" s="240">
        <v>0.49</v>
      </c>
      <c r="K161" s="241">
        <f t="shared" si="268"/>
        <v>504.69534499999992</v>
      </c>
      <c r="L161" s="242">
        <f t="shared" si="269"/>
        <v>53.82</v>
      </c>
      <c r="M161" s="26">
        <v>0.01</v>
      </c>
      <c r="N161" s="26">
        <f t="shared" si="270"/>
        <v>10.299904999999999</v>
      </c>
      <c r="O161" s="241">
        <f t="shared" si="271"/>
        <v>554.34088709999992</v>
      </c>
      <c r="P161" s="243">
        <f t="shared" si="272"/>
        <v>1.0282</v>
      </c>
      <c r="Q161" s="241">
        <f t="shared" si="273"/>
        <v>1059.0362320999998</v>
      </c>
      <c r="R161" s="121"/>
    </row>
    <row r="162" spans="1:18" x14ac:dyDescent="0.35">
      <c r="A162" s="69" t="str">
        <f>IF(TRIM(G162)&lt;&gt;"",COUNTA(G$11:$G162)&amp;"","")</f>
        <v>130</v>
      </c>
      <c r="B162" s="284"/>
      <c r="C162" s="284"/>
      <c r="D162" s="34"/>
      <c r="E162" s="228" t="s">
        <v>163</v>
      </c>
      <c r="F162" s="71">
        <f>F154</f>
        <v>60.41</v>
      </c>
      <c r="G162" s="63" t="s">
        <v>83</v>
      </c>
      <c r="H162" s="22">
        <v>0.1</v>
      </c>
      <c r="I162" s="49">
        <f t="shared" si="267"/>
        <v>66.450999999999993</v>
      </c>
      <c r="J162" s="240">
        <v>0.85</v>
      </c>
      <c r="K162" s="241">
        <f t="shared" si="268"/>
        <v>56.483349999999994</v>
      </c>
      <c r="L162" s="242">
        <f t="shared" si="269"/>
        <v>53.82</v>
      </c>
      <c r="M162" s="26">
        <v>0.02</v>
      </c>
      <c r="N162" s="26">
        <f t="shared" si="270"/>
        <v>1.3290199999999999</v>
      </c>
      <c r="O162" s="241">
        <f t="shared" si="271"/>
        <v>71.52785639999999</v>
      </c>
      <c r="P162" s="243">
        <f t="shared" si="272"/>
        <v>1.9264000000000001</v>
      </c>
      <c r="Q162" s="241">
        <f t="shared" si="273"/>
        <v>128.01120639999999</v>
      </c>
      <c r="R162" s="121"/>
    </row>
    <row r="163" spans="1:18" x14ac:dyDescent="0.35">
      <c r="A163" s="69" t="str">
        <f>IF(TRIM(G163)&lt;&gt;"",COUNTA(G$11:$G163)&amp;"","")</f>
        <v>131</v>
      </c>
      <c r="B163" s="284"/>
      <c r="C163" s="284"/>
      <c r="D163" s="34"/>
      <c r="E163" s="228" t="s">
        <v>164</v>
      </c>
      <c r="F163" s="71">
        <f>F154</f>
        <v>60.41</v>
      </c>
      <c r="G163" s="63" t="s">
        <v>83</v>
      </c>
      <c r="H163" s="22">
        <v>0.1</v>
      </c>
      <c r="I163" s="49">
        <f t="shared" si="267"/>
        <v>66.450999999999993</v>
      </c>
      <c r="J163" s="240">
        <f>26.69/16</f>
        <v>1.6681250000000001</v>
      </c>
      <c r="K163" s="241">
        <f t="shared" si="268"/>
        <v>110.848574375</v>
      </c>
      <c r="L163" s="242">
        <f t="shared" si="269"/>
        <v>53.82</v>
      </c>
      <c r="M163" s="26">
        <v>2.4E-2</v>
      </c>
      <c r="N163" s="26">
        <f t="shared" si="270"/>
        <v>1.5948239999999998</v>
      </c>
      <c r="O163" s="241">
        <f t="shared" si="271"/>
        <v>85.833427679999986</v>
      </c>
      <c r="P163" s="243">
        <f t="shared" si="272"/>
        <v>2.9598050000000002</v>
      </c>
      <c r="Q163" s="241">
        <f t="shared" si="273"/>
        <v>196.682002055</v>
      </c>
      <c r="R163" s="121"/>
    </row>
    <row r="164" spans="1:18" x14ac:dyDescent="0.35">
      <c r="A164" s="69" t="str">
        <f>IF(TRIM(G164)&lt;&gt;"",COUNTA(G$11:$G164)&amp;"","")</f>
        <v>132</v>
      </c>
      <c r="B164" s="284"/>
      <c r="C164" s="284"/>
      <c r="D164" s="34"/>
      <c r="E164" s="228" t="s">
        <v>165</v>
      </c>
      <c r="F164" s="71">
        <f>(F154*13.5)/2</f>
        <v>407.76749999999998</v>
      </c>
      <c r="G164" s="63" t="s">
        <v>83</v>
      </c>
      <c r="H164" s="22">
        <v>0.1</v>
      </c>
      <c r="I164" s="49">
        <f t="shared" si="267"/>
        <v>448.54424999999998</v>
      </c>
      <c r="J164" s="240">
        <v>0.85</v>
      </c>
      <c r="K164" s="241">
        <f t="shared" si="268"/>
        <v>381.26261249999999</v>
      </c>
      <c r="L164" s="242">
        <f t="shared" si="269"/>
        <v>53.82</v>
      </c>
      <c r="M164" s="26">
        <v>0.02</v>
      </c>
      <c r="N164" s="26">
        <f t="shared" si="270"/>
        <v>8.9708849999999991</v>
      </c>
      <c r="O164" s="241">
        <f t="shared" si="271"/>
        <v>482.81303069999996</v>
      </c>
      <c r="P164" s="243">
        <f t="shared" si="272"/>
        <v>1.9263999999999999</v>
      </c>
      <c r="Q164" s="241">
        <f t="shared" si="273"/>
        <v>864.07564319999994</v>
      </c>
      <c r="R164" s="121"/>
    </row>
    <row r="165" spans="1:18" x14ac:dyDescent="0.35">
      <c r="A165" s="69" t="str">
        <f>IF(TRIM(G165)&lt;&gt;"",COUNTA(G$11:$G165)&amp;"","")</f>
        <v>133</v>
      </c>
      <c r="B165" s="284"/>
      <c r="C165" s="284"/>
      <c r="D165" s="34"/>
      <c r="E165" s="228" t="s">
        <v>166</v>
      </c>
      <c r="F165" s="71">
        <f>F154</f>
        <v>60.41</v>
      </c>
      <c r="G165" s="63" t="s">
        <v>83</v>
      </c>
      <c r="H165" s="22">
        <v>0.1</v>
      </c>
      <c r="I165" s="49">
        <f t="shared" si="267"/>
        <v>66.450999999999993</v>
      </c>
      <c r="J165" s="240">
        <v>2.2999999999999998</v>
      </c>
      <c r="K165" s="241">
        <f t="shared" si="268"/>
        <v>152.83729999999997</v>
      </c>
      <c r="L165" s="242">
        <f t="shared" si="269"/>
        <v>53.82</v>
      </c>
      <c r="M165" s="26">
        <v>2.5999999999999999E-2</v>
      </c>
      <c r="N165" s="26">
        <f t="shared" si="270"/>
        <v>1.7277259999999997</v>
      </c>
      <c r="O165" s="241">
        <f t="shared" si="271"/>
        <v>92.986213319999976</v>
      </c>
      <c r="P165" s="243">
        <f t="shared" si="272"/>
        <v>3.6993199999999997</v>
      </c>
      <c r="Q165" s="241">
        <f t="shared" si="273"/>
        <v>245.82351331999996</v>
      </c>
      <c r="R165" s="121"/>
    </row>
    <row r="166" spans="1:18" x14ac:dyDescent="0.35">
      <c r="A166" s="69" t="str">
        <f>IF(TRIM(G166)&lt;&gt;"",COUNTA(G$11:$G166)&amp;"","")</f>
        <v>134</v>
      </c>
      <c r="B166" s="284"/>
      <c r="C166" s="284"/>
      <c r="D166" s="34"/>
      <c r="E166" s="228" t="s">
        <v>108</v>
      </c>
      <c r="F166" s="71">
        <f>F154*4</f>
        <v>241.64</v>
      </c>
      <c r="G166" s="63" t="s">
        <v>83</v>
      </c>
      <c r="H166" s="22">
        <v>0.1</v>
      </c>
      <c r="I166" s="49">
        <f t="shared" si="267"/>
        <v>265.80399999999997</v>
      </c>
      <c r="J166" s="240">
        <v>0.2</v>
      </c>
      <c r="K166" s="241">
        <f t="shared" si="268"/>
        <v>53.160799999999995</v>
      </c>
      <c r="L166" s="242">
        <f t="shared" si="269"/>
        <v>53.82</v>
      </c>
      <c r="M166" s="26">
        <v>1.6E-2</v>
      </c>
      <c r="N166" s="26">
        <f t="shared" si="270"/>
        <v>4.2528639999999998</v>
      </c>
      <c r="O166" s="241">
        <f t="shared" si="271"/>
        <v>228.88914047999998</v>
      </c>
      <c r="P166" s="243">
        <f t="shared" si="272"/>
        <v>1.0611200000000001</v>
      </c>
      <c r="Q166" s="241">
        <f t="shared" si="273"/>
        <v>282.04994047999998</v>
      </c>
      <c r="R166" s="121"/>
    </row>
    <row r="167" spans="1:18" x14ac:dyDescent="0.35">
      <c r="A167" s="69" t="str">
        <f>IF(TRIM(G167)&lt;&gt;"",COUNTA(G$11:$G167)&amp;"","")</f>
        <v/>
      </c>
      <c r="B167" s="284"/>
      <c r="C167" s="284"/>
      <c r="D167" s="34"/>
      <c r="E167" s="67"/>
      <c r="F167" s="71"/>
      <c r="G167" s="63"/>
      <c r="H167" s="22"/>
      <c r="I167" s="49"/>
      <c r="J167" s="23"/>
      <c r="K167" s="24"/>
      <c r="L167" s="25"/>
      <c r="M167" s="26"/>
      <c r="N167" s="26"/>
      <c r="O167" s="24"/>
      <c r="P167" s="27"/>
      <c r="Q167" s="24"/>
      <c r="R167" s="121"/>
    </row>
    <row r="168" spans="1:18" x14ac:dyDescent="0.35">
      <c r="A168" s="69" t="str">
        <f>IF(TRIM(G168)&lt;&gt;"",COUNTA(G$11:$G168)&amp;"","")</f>
        <v>135</v>
      </c>
      <c r="B168" s="284"/>
      <c r="C168" s="284"/>
      <c r="D168" s="34"/>
      <c r="E168" s="233" t="s">
        <v>174</v>
      </c>
      <c r="F168" s="234">
        <v>8.65</v>
      </c>
      <c r="G168" s="238" t="s">
        <v>83</v>
      </c>
      <c r="H168" s="22"/>
      <c r="I168" s="49"/>
      <c r="J168" s="23"/>
      <c r="K168" s="24"/>
      <c r="L168" s="25"/>
      <c r="M168" s="26"/>
      <c r="N168" s="26"/>
      <c r="O168" s="24"/>
      <c r="P168" s="27"/>
      <c r="Q168" s="24"/>
      <c r="R168" s="121"/>
    </row>
    <row r="169" spans="1:18" x14ac:dyDescent="0.35">
      <c r="A169" s="69" t="str">
        <f>IF(TRIM(G169)&lt;&gt;"",COUNTA(G$11:$G169)&amp;"","")</f>
        <v>136</v>
      </c>
      <c r="B169" s="284"/>
      <c r="C169" s="284"/>
      <c r="D169" s="34"/>
      <c r="E169" s="67" t="s">
        <v>152</v>
      </c>
      <c r="F169" s="71">
        <f>F168/1.33+1</f>
        <v>7.503759398496241</v>
      </c>
      <c r="G169" s="63" t="s">
        <v>102</v>
      </c>
      <c r="H169" s="22">
        <v>0</v>
      </c>
      <c r="I169" s="49">
        <f t="shared" ref="I169:I170" si="274">IF(F169=0,"",F169+(F169*H169))</f>
        <v>7.503759398496241</v>
      </c>
      <c r="J169" s="240">
        <f>1.26*12</f>
        <v>15.120000000000001</v>
      </c>
      <c r="K169" s="241">
        <f t="shared" ref="K169:K170" si="275">IF(F169=0,"",J169*I169)</f>
        <v>113.45684210526318</v>
      </c>
      <c r="L169" s="242">
        <f t="shared" ref="L169:L170" si="276">IF(F169=0,"",L$34)</f>
        <v>53.82</v>
      </c>
      <c r="M169" s="26">
        <f>0.052*12</f>
        <v>0.624</v>
      </c>
      <c r="N169" s="26">
        <f t="shared" ref="N169:N170" si="277">IF(F169=0,"",M169*I169)</f>
        <v>4.682345864661654</v>
      </c>
      <c r="O169" s="241">
        <f t="shared" ref="O169:O170" si="278">IF(F169=0,"",N169*L169)</f>
        <v>252.00385443609022</v>
      </c>
      <c r="P169" s="243">
        <f t="shared" ref="P169:P170" si="279">IF(F169=0,"",(K169+O169)/I169)</f>
        <v>48.703679999999999</v>
      </c>
      <c r="Q169" s="241">
        <f t="shared" ref="Q169:Q170" si="280">IF(F169=0,"",(P169*I169))</f>
        <v>365.4606965413534</v>
      </c>
      <c r="R169" s="121"/>
    </row>
    <row r="170" spans="1:18" x14ac:dyDescent="0.35">
      <c r="A170" s="69" t="str">
        <f>IF(TRIM(G170)&lt;&gt;"",COUNTA(G$11:$G170)&amp;"","")</f>
        <v>137</v>
      </c>
      <c r="B170" s="284"/>
      <c r="C170" s="284"/>
      <c r="D170" s="34"/>
      <c r="E170" s="228" t="s">
        <v>123</v>
      </c>
      <c r="F170" s="71">
        <f>F168</f>
        <v>8.65</v>
      </c>
      <c r="G170" s="63" t="s">
        <v>83</v>
      </c>
      <c r="H170" s="22">
        <v>0.1</v>
      </c>
      <c r="I170" s="49">
        <f t="shared" si="274"/>
        <v>9.5150000000000006</v>
      </c>
      <c r="J170" s="240">
        <v>1.26</v>
      </c>
      <c r="K170" s="241">
        <f t="shared" si="275"/>
        <v>11.988900000000001</v>
      </c>
      <c r="L170" s="242">
        <f t="shared" si="276"/>
        <v>53.82</v>
      </c>
      <c r="M170" s="26">
        <v>5.1999999999999998E-2</v>
      </c>
      <c r="N170" s="26">
        <f t="shared" si="277"/>
        <v>0.49478</v>
      </c>
      <c r="O170" s="241">
        <f t="shared" si="278"/>
        <v>26.629059600000001</v>
      </c>
      <c r="P170" s="243">
        <f t="shared" si="279"/>
        <v>4.0586400000000005</v>
      </c>
      <c r="Q170" s="241">
        <f t="shared" si="280"/>
        <v>38.617959600000006</v>
      </c>
      <c r="R170" s="121"/>
    </row>
    <row r="171" spans="1:18" x14ac:dyDescent="0.35">
      <c r="A171" s="69" t="str">
        <f>IF(TRIM(G171)&lt;&gt;"",COUNTA(G$11:$G171)&amp;"","")</f>
        <v>138</v>
      </c>
      <c r="B171" s="284"/>
      <c r="C171" s="284"/>
      <c r="D171" s="34"/>
      <c r="E171" s="228" t="s">
        <v>124</v>
      </c>
      <c r="F171" s="71">
        <f>F168</f>
        <v>8.65</v>
      </c>
      <c r="G171" s="63" t="s">
        <v>83</v>
      </c>
      <c r="H171" s="22">
        <v>0.1</v>
      </c>
      <c r="I171" s="49">
        <f t="shared" ref="I171:I174" si="281">IF(F171=0,"",F171+(F171*H171))</f>
        <v>9.5150000000000006</v>
      </c>
      <c r="J171" s="240">
        <v>1.26</v>
      </c>
      <c r="K171" s="241">
        <f t="shared" ref="K171:K174" si="282">IF(F171=0,"",J171*I171)</f>
        <v>11.988900000000001</v>
      </c>
      <c r="L171" s="242">
        <f t="shared" ref="L171:L172" si="283">IF(F171=0,"",L$34)</f>
        <v>53.82</v>
      </c>
      <c r="M171" s="26">
        <v>5.1999999999999998E-2</v>
      </c>
      <c r="N171" s="26">
        <f t="shared" ref="N171:N174" si="284">IF(F171=0,"",M171*I171)</f>
        <v>0.49478</v>
      </c>
      <c r="O171" s="241">
        <f t="shared" ref="O171:O174" si="285">IF(F171=0,"",N171*L171)</f>
        <v>26.629059600000001</v>
      </c>
      <c r="P171" s="243">
        <f t="shared" ref="P171:P174" si="286">IF(F171=0,"",(K171+O171)/I171)</f>
        <v>4.0586400000000005</v>
      </c>
      <c r="Q171" s="241">
        <f t="shared" ref="Q171:Q174" si="287">IF(F171=0,"",(P171*I171))</f>
        <v>38.617959600000006</v>
      </c>
      <c r="R171" s="121"/>
    </row>
    <row r="172" spans="1:18" x14ac:dyDescent="0.35">
      <c r="A172" s="69" t="str">
        <f>IF(TRIM(G172)&lt;&gt;"",COUNTA(G$11:$G172)&amp;"","")</f>
        <v>139</v>
      </c>
      <c r="B172" s="284"/>
      <c r="C172" s="284"/>
      <c r="D172" s="34"/>
      <c r="E172" s="228" t="s">
        <v>125</v>
      </c>
      <c r="F172" s="71">
        <f>(F168*12)+(F168*8.5)</f>
        <v>177.32500000000002</v>
      </c>
      <c r="G172" s="63" t="s">
        <v>69</v>
      </c>
      <c r="H172" s="22">
        <v>0.1</v>
      </c>
      <c r="I172" s="49">
        <f t="shared" si="281"/>
        <v>195.0575</v>
      </c>
      <c r="J172" s="240">
        <v>0.62</v>
      </c>
      <c r="K172" s="241">
        <f t="shared" si="282"/>
        <v>120.93565</v>
      </c>
      <c r="L172" s="242">
        <f t="shared" si="283"/>
        <v>53.82</v>
      </c>
      <c r="M172" s="26">
        <v>1.6E-2</v>
      </c>
      <c r="N172" s="26">
        <f t="shared" si="284"/>
        <v>3.1209199999999999</v>
      </c>
      <c r="O172" s="241">
        <f t="shared" si="285"/>
        <v>167.96791439999998</v>
      </c>
      <c r="P172" s="243">
        <f t="shared" si="286"/>
        <v>1.48112</v>
      </c>
      <c r="Q172" s="241">
        <f t="shared" si="287"/>
        <v>288.90356439999999</v>
      </c>
      <c r="R172" s="121"/>
    </row>
    <row r="173" spans="1:18" x14ac:dyDescent="0.35">
      <c r="A173" s="69" t="str">
        <f>IF(TRIM(G173)&lt;&gt;"",COUNTA(G$11:$G173)&amp;"","")</f>
        <v>140</v>
      </c>
      <c r="B173" s="284"/>
      <c r="C173" s="284"/>
      <c r="D173" s="34"/>
      <c r="E173" s="228" t="s">
        <v>153</v>
      </c>
      <c r="F173" s="71">
        <f>(F168/4)*2</f>
        <v>4.3250000000000002</v>
      </c>
      <c r="G173" s="63" t="s">
        <v>83</v>
      </c>
      <c r="H173" s="22">
        <v>0.1</v>
      </c>
      <c r="I173" s="49">
        <f t="shared" si="281"/>
        <v>4.7575000000000003</v>
      </c>
      <c r="J173" s="240">
        <v>1.26</v>
      </c>
      <c r="K173" s="241">
        <f t="shared" si="282"/>
        <v>5.9944500000000005</v>
      </c>
      <c r="L173" s="242">
        <f t="shared" ref="L173:L174" si="288">IF(F173=0,"",L$34)</f>
        <v>53.82</v>
      </c>
      <c r="M173" s="26">
        <v>5.1999999999999998E-2</v>
      </c>
      <c r="N173" s="26">
        <f t="shared" si="284"/>
        <v>0.24739</v>
      </c>
      <c r="O173" s="241">
        <f t="shared" si="285"/>
        <v>13.314529800000001</v>
      </c>
      <c r="P173" s="243">
        <f t="shared" si="286"/>
        <v>4.0586400000000005</v>
      </c>
      <c r="Q173" s="241">
        <f t="shared" si="287"/>
        <v>19.308979800000003</v>
      </c>
      <c r="R173" s="121"/>
    </row>
    <row r="174" spans="1:18" x14ac:dyDescent="0.35">
      <c r="A174" s="69" t="str">
        <f>IF(TRIM(G174)&lt;&gt;"",COUNTA(G$11:$G174)&amp;"","")</f>
        <v>141</v>
      </c>
      <c r="B174" s="284"/>
      <c r="C174" s="284"/>
      <c r="D174" s="34"/>
      <c r="E174" s="67" t="s">
        <v>108</v>
      </c>
      <c r="F174" s="71">
        <f>F168*4</f>
        <v>34.6</v>
      </c>
      <c r="G174" s="63" t="s">
        <v>83</v>
      </c>
      <c r="H174" s="22">
        <v>0.1</v>
      </c>
      <c r="I174" s="49">
        <f t="shared" si="281"/>
        <v>38.06</v>
      </c>
      <c r="J174" s="240">
        <v>0.2</v>
      </c>
      <c r="K174" s="241">
        <f t="shared" si="282"/>
        <v>7.612000000000001</v>
      </c>
      <c r="L174" s="242">
        <f t="shared" si="288"/>
        <v>53.82</v>
      </c>
      <c r="M174" s="26">
        <v>1.6E-2</v>
      </c>
      <c r="N174" s="26">
        <f t="shared" si="284"/>
        <v>0.60896000000000006</v>
      </c>
      <c r="O174" s="241">
        <f t="shared" si="285"/>
        <v>32.774227200000006</v>
      </c>
      <c r="P174" s="243">
        <f t="shared" si="286"/>
        <v>1.0611200000000001</v>
      </c>
      <c r="Q174" s="241">
        <f t="shared" si="287"/>
        <v>40.386227200000008</v>
      </c>
      <c r="R174" s="121"/>
    </row>
    <row r="175" spans="1:18" x14ac:dyDescent="0.35">
      <c r="A175" s="69"/>
      <c r="B175" s="284"/>
      <c r="C175" s="284"/>
      <c r="D175" s="34"/>
      <c r="E175" s="67"/>
      <c r="F175" s="71"/>
      <c r="G175" s="72"/>
      <c r="H175" s="22"/>
      <c r="I175" s="49"/>
      <c r="J175" s="23"/>
      <c r="K175" s="24"/>
      <c r="L175" s="25"/>
      <c r="M175" s="26"/>
      <c r="N175" s="26"/>
      <c r="O175" s="24"/>
      <c r="P175" s="27"/>
      <c r="Q175" s="24"/>
      <c r="R175" s="121"/>
    </row>
    <row r="176" spans="1:18" x14ac:dyDescent="0.35">
      <c r="A176" s="69" t="str">
        <f>IF(TRIM(G176)&lt;&gt;"",COUNTA(G$11:$G176)&amp;"","")</f>
        <v>142</v>
      </c>
      <c r="B176" s="284"/>
      <c r="C176" s="284"/>
      <c r="D176" s="34"/>
      <c r="E176" s="233" t="s">
        <v>185</v>
      </c>
      <c r="F176" s="234">
        <v>26.03</v>
      </c>
      <c r="G176" s="239" t="s">
        <v>83</v>
      </c>
      <c r="H176" s="22"/>
      <c r="I176" s="49"/>
      <c r="J176" s="23"/>
      <c r="K176" s="24"/>
      <c r="L176" s="25"/>
      <c r="M176" s="26"/>
      <c r="N176" s="26"/>
      <c r="O176" s="24"/>
      <c r="P176" s="27"/>
      <c r="Q176" s="24"/>
      <c r="R176" s="121"/>
    </row>
    <row r="177" spans="1:18" x14ac:dyDescent="0.35">
      <c r="A177" s="69" t="str">
        <f>IF(TRIM(G177)&lt;&gt;"",COUNTA(G$11:$G177)&amp;"","")</f>
        <v>143</v>
      </c>
      <c r="B177" s="284"/>
      <c r="C177" s="284"/>
      <c r="D177" s="34"/>
      <c r="E177" s="67" t="s">
        <v>186</v>
      </c>
      <c r="F177" s="71">
        <f>F176/1.33+1</f>
        <v>20.571428571428573</v>
      </c>
      <c r="G177" s="72" t="s">
        <v>102</v>
      </c>
      <c r="H177" s="22">
        <v>0</v>
      </c>
      <c r="I177" s="49">
        <f t="shared" ref="I177:I178" si="289">IF(F177=0,"",F177+(F177*H177))</f>
        <v>20.571428571428573</v>
      </c>
      <c r="J177" s="240">
        <f>1.69*24</f>
        <v>40.56</v>
      </c>
      <c r="K177" s="241">
        <f t="shared" ref="K177:K178" si="290">IF(F177=0,"",J177*I177)</f>
        <v>834.37714285714299</v>
      </c>
      <c r="L177" s="242">
        <f t="shared" ref="L177:L178" si="291">IF(F177=0,"",L$34)</f>
        <v>53.82</v>
      </c>
      <c r="M177" s="26">
        <f>24*0.0656</f>
        <v>1.5744000000000002</v>
      </c>
      <c r="N177" s="26">
        <f t="shared" ref="N177:N178" si="292">IF(F177=0,"",M177*I177)</f>
        <v>32.387657142857151</v>
      </c>
      <c r="O177" s="241">
        <f t="shared" ref="O177:O178" si="293">IF(F177=0,"",N177*L177)</f>
        <v>1743.1037074285719</v>
      </c>
      <c r="P177" s="243">
        <f t="shared" ref="P177:P178" si="294">IF(F177=0,"",(K177+O177)/I177)</f>
        <v>125.29420800000003</v>
      </c>
      <c r="Q177" s="241">
        <f t="shared" ref="Q177:Q178" si="295">IF(F177=0,"",(P177*I177))</f>
        <v>2577.480850285715</v>
      </c>
      <c r="R177" s="121"/>
    </row>
    <row r="178" spans="1:18" x14ac:dyDescent="0.35">
      <c r="A178" s="69" t="str">
        <f>IF(TRIM(G178)&lt;&gt;"",COUNTA(G$11:$G178)&amp;"","")</f>
        <v>144</v>
      </c>
      <c r="B178" s="284"/>
      <c r="C178" s="284"/>
      <c r="D178" s="34"/>
      <c r="E178" s="228" t="s">
        <v>145</v>
      </c>
      <c r="F178" s="71">
        <f>F176</f>
        <v>26.03</v>
      </c>
      <c r="G178" s="72" t="s">
        <v>83</v>
      </c>
      <c r="H178" s="22">
        <v>0.1</v>
      </c>
      <c r="I178" s="49">
        <f t="shared" si="289"/>
        <v>28.633000000000003</v>
      </c>
      <c r="J178" s="240">
        <v>1.69</v>
      </c>
      <c r="K178" s="241">
        <f t="shared" si="290"/>
        <v>48.389770000000006</v>
      </c>
      <c r="L178" s="242">
        <f t="shared" si="291"/>
        <v>53.82</v>
      </c>
      <c r="M178" s="26">
        <v>6.5600000000000006E-2</v>
      </c>
      <c r="N178" s="26">
        <f t="shared" si="292"/>
        <v>1.8783248000000003</v>
      </c>
      <c r="O178" s="241">
        <f t="shared" si="293"/>
        <v>101.09144073600002</v>
      </c>
      <c r="P178" s="243">
        <f t="shared" si="294"/>
        <v>5.2205920000000008</v>
      </c>
      <c r="Q178" s="241">
        <f t="shared" si="295"/>
        <v>149.48121073600004</v>
      </c>
      <c r="R178" s="121"/>
    </row>
    <row r="179" spans="1:18" x14ac:dyDescent="0.35">
      <c r="A179" s="69" t="str">
        <f>IF(TRIM(G179)&lt;&gt;"",COUNTA(G$11:$G179)&amp;"","")</f>
        <v>145</v>
      </c>
      <c r="B179" s="284"/>
      <c r="C179" s="284"/>
      <c r="D179" s="34"/>
      <c r="E179" s="228" t="s">
        <v>146</v>
      </c>
      <c r="F179" s="71">
        <f>F176</f>
        <v>26.03</v>
      </c>
      <c r="G179" s="72" t="s">
        <v>83</v>
      </c>
      <c r="H179" s="22">
        <v>0.1</v>
      </c>
      <c r="I179" s="49">
        <f t="shared" ref="I179:I183" si="296">IF(F179=0,"",F179+(F179*H179))</f>
        <v>28.633000000000003</v>
      </c>
      <c r="J179" s="240">
        <v>1.69</v>
      </c>
      <c r="K179" s="241">
        <f t="shared" ref="K179:K183" si="297">IF(F179=0,"",J179*I179)</f>
        <v>48.389770000000006</v>
      </c>
      <c r="L179" s="242">
        <f t="shared" ref="L179" si="298">IF(F179=0,"",L$34)</f>
        <v>53.82</v>
      </c>
      <c r="M179" s="26">
        <v>6.5600000000000006E-2</v>
      </c>
      <c r="N179" s="26">
        <f t="shared" ref="N179:N183" si="299">IF(F179=0,"",M179*I179)</f>
        <v>1.8783248000000003</v>
      </c>
      <c r="O179" s="241">
        <f t="shared" ref="O179:O183" si="300">IF(F179=0,"",N179*L179)</f>
        <v>101.09144073600002</v>
      </c>
      <c r="P179" s="243">
        <f t="shared" ref="P179:P183" si="301">IF(F179=0,"",(K179+O179)/I179)</f>
        <v>5.2205920000000008</v>
      </c>
      <c r="Q179" s="241">
        <f t="shared" ref="Q179:Q183" si="302">IF(F179=0,"",(P179*I179))</f>
        <v>149.48121073600004</v>
      </c>
      <c r="R179" s="121"/>
    </row>
    <row r="180" spans="1:18" x14ac:dyDescent="0.35">
      <c r="A180" s="69" t="str">
        <f>IF(TRIM(G180)&lt;&gt;"",COUNTA(G$11:$G180)&amp;"","")</f>
        <v>146</v>
      </c>
      <c r="B180" s="284"/>
      <c r="C180" s="284"/>
      <c r="D180" s="34"/>
      <c r="E180" s="228" t="s">
        <v>125</v>
      </c>
      <c r="F180" s="71">
        <f>(F176*14.5)+(F176*8)</f>
        <v>585.67499999999995</v>
      </c>
      <c r="G180" s="72" t="s">
        <v>69</v>
      </c>
      <c r="H180" s="22">
        <v>0.1</v>
      </c>
      <c r="I180" s="49">
        <f t="shared" si="296"/>
        <v>644.24249999999995</v>
      </c>
      <c r="J180" s="240">
        <v>0.62</v>
      </c>
      <c r="K180" s="241">
        <f t="shared" si="297"/>
        <v>399.43034999999998</v>
      </c>
      <c r="L180" s="242">
        <f t="shared" ref="L180" si="303">IF(F180=0,"",L$34)</f>
        <v>53.82</v>
      </c>
      <c r="M180" s="26">
        <v>1.6E-2</v>
      </c>
      <c r="N180" s="26">
        <f t="shared" si="299"/>
        <v>10.307879999999999</v>
      </c>
      <c r="O180" s="241">
        <f t="shared" si="300"/>
        <v>554.77010159999998</v>
      </c>
      <c r="P180" s="243">
        <f t="shared" si="301"/>
        <v>1.48112</v>
      </c>
      <c r="Q180" s="241">
        <f t="shared" si="302"/>
        <v>954.20045159999995</v>
      </c>
      <c r="R180" s="121"/>
    </row>
    <row r="181" spans="1:18" x14ac:dyDescent="0.35">
      <c r="A181" s="69" t="str">
        <f>IF(TRIM(G181)&lt;&gt;"",COUNTA(G$11:$G181)&amp;"","")</f>
        <v>147</v>
      </c>
      <c r="B181" s="284"/>
      <c r="C181" s="284"/>
      <c r="D181" s="34"/>
      <c r="E181" s="67" t="s">
        <v>149</v>
      </c>
      <c r="F181" s="71">
        <f>(F176*4)</f>
        <v>104.12</v>
      </c>
      <c r="G181" s="72" t="s">
        <v>69</v>
      </c>
      <c r="H181" s="22">
        <v>0.1</v>
      </c>
      <c r="I181" s="49">
        <f t="shared" si="296"/>
        <v>114.53200000000001</v>
      </c>
      <c r="J181" s="240">
        <f>17.4/32</f>
        <v>0.54374999999999996</v>
      </c>
      <c r="K181" s="241">
        <f t="shared" si="297"/>
        <v>62.276775000000001</v>
      </c>
      <c r="L181" s="242">
        <f t="shared" ref="L181" si="304">IF(F181=0,"",L$34)</f>
        <v>53.82</v>
      </c>
      <c r="M181" s="26">
        <v>1.6E-2</v>
      </c>
      <c r="N181" s="26">
        <f t="shared" si="299"/>
        <v>1.8325120000000001</v>
      </c>
      <c r="O181" s="241">
        <f t="shared" si="300"/>
        <v>98.625795840000009</v>
      </c>
      <c r="P181" s="243">
        <f t="shared" si="301"/>
        <v>1.4048700000000001</v>
      </c>
      <c r="Q181" s="241">
        <f t="shared" si="302"/>
        <v>160.90257084000001</v>
      </c>
      <c r="R181" s="121"/>
    </row>
    <row r="182" spans="1:18" x14ac:dyDescent="0.35">
      <c r="A182" s="69" t="str">
        <f>IF(TRIM(G182)&lt;&gt;"",COUNTA(G$11:$G182)&amp;"","")</f>
        <v>148</v>
      </c>
      <c r="B182" s="284"/>
      <c r="C182" s="284"/>
      <c r="D182" s="34"/>
      <c r="E182" s="228" t="s">
        <v>162</v>
      </c>
      <c r="F182" s="71">
        <f>F176*14.5</f>
        <v>377.435</v>
      </c>
      <c r="G182" s="72" t="s">
        <v>69</v>
      </c>
      <c r="H182" s="22">
        <v>0.1</v>
      </c>
      <c r="I182" s="49">
        <f t="shared" si="296"/>
        <v>415.17849999999999</v>
      </c>
      <c r="J182" s="240">
        <v>0.49</v>
      </c>
      <c r="K182" s="241">
        <f t="shared" si="297"/>
        <v>203.437465</v>
      </c>
      <c r="L182" s="242">
        <f t="shared" ref="L182:L183" si="305">IF(F182=0,"",L$34)</f>
        <v>53.82</v>
      </c>
      <c r="M182" s="26">
        <v>0.01</v>
      </c>
      <c r="N182" s="26">
        <f t="shared" si="299"/>
        <v>4.1517850000000003</v>
      </c>
      <c r="O182" s="241">
        <f t="shared" si="300"/>
        <v>223.44906870000003</v>
      </c>
      <c r="P182" s="243">
        <f t="shared" si="301"/>
        <v>1.0282</v>
      </c>
      <c r="Q182" s="241">
        <f t="shared" si="302"/>
        <v>426.88653369999997</v>
      </c>
      <c r="R182" s="121"/>
    </row>
    <row r="183" spans="1:18" x14ac:dyDescent="0.35">
      <c r="A183" s="69" t="str">
        <f>IF(TRIM(G183)&lt;&gt;"",COUNTA(G$11:$G183)&amp;"","")</f>
        <v>149</v>
      </c>
      <c r="B183" s="284"/>
      <c r="C183" s="284"/>
      <c r="D183" s="34"/>
      <c r="E183" s="67" t="s">
        <v>108</v>
      </c>
      <c r="F183" s="71">
        <f>F176*4</f>
        <v>104.12</v>
      </c>
      <c r="G183" s="72" t="s">
        <v>83</v>
      </c>
      <c r="H183" s="22">
        <v>0.1</v>
      </c>
      <c r="I183" s="49">
        <f t="shared" si="296"/>
        <v>114.53200000000001</v>
      </c>
      <c r="J183" s="240">
        <v>0.2</v>
      </c>
      <c r="K183" s="241">
        <f t="shared" si="297"/>
        <v>22.906400000000005</v>
      </c>
      <c r="L183" s="242">
        <f t="shared" si="305"/>
        <v>53.82</v>
      </c>
      <c r="M183" s="26">
        <v>1.6E-2</v>
      </c>
      <c r="N183" s="26">
        <f t="shared" si="299"/>
        <v>1.8325120000000001</v>
      </c>
      <c r="O183" s="241">
        <f t="shared" si="300"/>
        <v>98.625795840000009</v>
      </c>
      <c r="P183" s="243">
        <f t="shared" si="301"/>
        <v>1.0611200000000001</v>
      </c>
      <c r="Q183" s="241">
        <f t="shared" si="302"/>
        <v>121.53219584000001</v>
      </c>
      <c r="R183" s="121"/>
    </row>
    <row r="184" spans="1:18" x14ac:dyDescent="0.35">
      <c r="A184" s="69" t="str">
        <f>IF(TRIM(G184)&lt;&gt;"",COUNTA(G$11:$G184)&amp;"","")</f>
        <v/>
      </c>
      <c r="B184" s="284"/>
      <c r="C184" s="284"/>
      <c r="D184" s="34"/>
      <c r="E184" s="67"/>
      <c r="F184" s="71"/>
      <c r="G184" s="72"/>
      <c r="H184" s="22"/>
      <c r="I184" s="49"/>
      <c r="J184" s="23"/>
      <c r="K184" s="24"/>
      <c r="L184" s="25"/>
      <c r="M184" s="26"/>
      <c r="N184" s="26"/>
      <c r="O184" s="24"/>
      <c r="P184" s="27"/>
      <c r="Q184" s="24"/>
      <c r="R184" s="121"/>
    </row>
    <row r="185" spans="1:18" x14ac:dyDescent="0.35">
      <c r="A185" s="69" t="str">
        <f>IF(TRIM(G185)&lt;&gt;"",COUNTA(G$11:$G185)&amp;"","")</f>
        <v>150</v>
      </c>
      <c r="B185" s="284"/>
      <c r="C185" s="284"/>
      <c r="D185" s="34"/>
      <c r="E185" s="233" t="s">
        <v>187</v>
      </c>
      <c r="F185" s="234">
        <v>24.41</v>
      </c>
      <c r="G185" s="239" t="s">
        <v>83</v>
      </c>
      <c r="H185" s="22"/>
      <c r="I185" s="49"/>
      <c r="J185" s="23"/>
      <c r="K185" s="24"/>
      <c r="L185" s="25"/>
      <c r="M185" s="26"/>
      <c r="N185" s="26"/>
      <c r="O185" s="24"/>
      <c r="P185" s="27"/>
      <c r="Q185" s="24"/>
      <c r="R185" s="121"/>
    </row>
    <row r="186" spans="1:18" x14ac:dyDescent="0.35">
      <c r="A186" s="69" t="str">
        <f>IF(TRIM(G186)&lt;&gt;"",COUNTA(G$11:$G186)&amp;"","")</f>
        <v>151</v>
      </c>
      <c r="B186" s="284"/>
      <c r="C186" s="284"/>
      <c r="D186" s="34"/>
      <c r="E186" s="67" t="s">
        <v>122</v>
      </c>
      <c r="F186" s="71">
        <f>F185/1.33+1</f>
        <v>19.353383458646615</v>
      </c>
      <c r="G186" s="72" t="s">
        <v>102</v>
      </c>
      <c r="H186" s="22">
        <v>0</v>
      </c>
      <c r="I186" s="49">
        <f t="shared" ref="I186:I187" si="306">IF(F186=0,"",F186+(F186*H186))</f>
        <v>19.353383458646615</v>
      </c>
      <c r="J186" s="240">
        <f>1.26*14.5</f>
        <v>18.27</v>
      </c>
      <c r="K186" s="241">
        <f t="shared" ref="K186:K187" si="307">IF(F186=0,"",J186*I186)</f>
        <v>353.58631578947364</v>
      </c>
      <c r="L186" s="242">
        <f t="shared" ref="L186:L187" si="308">IF(F186=0,"",L$34)</f>
        <v>53.82</v>
      </c>
      <c r="M186" s="26">
        <f>0.052*14.5</f>
        <v>0.754</v>
      </c>
      <c r="N186" s="26">
        <f t="shared" ref="N186:N187" si="309">IF(F186=0,"",M186*I186)</f>
        <v>14.592451127819547</v>
      </c>
      <c r="O186" s="241">
        <f t="shared" ref="O186:O187" si="310">IF(F186=0,"",N186*L186)</f>
        <v>785.36571969924807</v>
      </c>
      <c r="P186" s="243">
        <f t="shared" ref="P186:P187" si="311">IF(F186=0,"",(K186+O186)/I186)</f>
        <v>58.850280000000005</v>
      </c>
      <c r="Q186" s="241">
        <f t="shared" ref="Q186:Q187" si="312">IF(F186=0,"",(P186*I186))</f>
        <v>1138.9520354887218</v>
      </c>
      <c r="R186" s="121"/>
    </row>
    <row r="187" spans="1:18" x14ac:dyDescent="0.35">
      <c r="A187" s="69" t="str">
        <f>IF(TRIM(G187)&lt;&gt;"",COUNTA(G$11:$G187)&amp;"","")</f>
        <v>152</v>
      </c>
      <c r="B187" s="284"/>
      <c r="C187" s="284"/>
      <c r="D187" s="34"/>
      <c r="E187" s="228" t="s">
        <v>123</v>
      </c>
      <c r="F187" s="71">
        <f>F185</f>
        <v>24.41</v>
      </c>
      <c r="G187" s="72" t="s">
        <v>83</v>
      </c>
      <c r="H187" s="22">
        <v>0.1</v>
      </c>
      <c r="I187" s="49">
        <f t="shared" si="306"/>
        <v>26.850999999999999</v>
      </c>
      <c r="J187" s="240">
        <v>1.26</v>
      </c>
      <c r="K187" s="241">
        <f t="shared" si="307"/>
        <v>33.832259999999998</v>
      </c>
      <c r="L187" s="242">
        <f t="shared" si="308"/>
        <v>53.82</v>
      </c>
      <c r="M187" s="26">
        <v>5.1999999999999998E-2</v>
      </c>
      <c r="N187" s="26">
        <f t="shared" si="309"/>
        <v>1.3962519999999998</v>
      </c>
      <c r="O187" s="241">
        <f t="shared" si="310"/>
        <v>75.146282639999995</v>
      </c>
      <c r="P187" s="243">
        <f t="shared" si="311"/>
        <v>4.0586400000000005</v>
      </c>
      <c r="Q187" s="241">
        <f t="shared" si="312"/>
        <v>108.97854264000001</v>
      </c>
      <c r="R187" s="121"/>
    </row>
    <row r="188" spans="1:18" x14ac:dyDescent="0.35">
      <c r="A188" s="69" t="str">
        <f>IF(TRIM(G188)&lt;&gt;"",COUNTA(G$11:$G188)&amp;"","")</f>
        <v>153</v>
      </c>
      <c r="B188" s="284"/>
      <c r="C188" s="284"/>
      <c r="D188" s="34"/>
      <c r="E188" s="228" t="s">
        <v>124</v>
      </c>
      <c r="F188" s="71">
        <f>F185</f>
        <v>24.41</v>
      </c>
      <c r="G188" s="72" t="s">
        <v>83</v>
      </c>
      <c r="H188" s="22">
        <v>0.1</v>
      </c>
      <c r="I188" s="49">
        <f t="shared" ref="I188:I192" si="313">IF(F188=0,"",F188+(F188*H188))</f>
        <v>26.850999999999999</v>
      </c>
      <c r="J188" s="240">
        <v>1.26</v>
      </c>
      <c r="K188" s="241">
        <f t="shared" ref="K188:K192" si="314">IF(F188=0,"",J188*I188)</f>
        <v>33.832259999999998</v>
      </c>
      <c r="L188" s="242">
        <f t="shared" ref="L188:L189" si="315">IF(F188=0,"",L$34)</f>
        <v>53.82</v>
      </c>
      <c r="M188" s="26">
        <v>5.1999999999999998E-2</v>
      </c>
      <c r="N188" s="26">
        <f t="shared" ref="N188:N192" si="316">IF(F188=0,"",M188*I188)</f>
        <v>1.3962519999999998</v>
      </c>
      <c r="O188" s="241">
        <f t="shared" ref="O188:O192" si="317">IF(F188=0,"",N188*L188)</f>
        <v>75.146282639999995</v>
      </c>
      <c r="P188" s="243">
        <f t="shared" ref="P188:P192" si="318">IF(F188=0,"",(K188+O188)/I188)</f>
        <v>4.0586400000000005</v>
      </c>
      <c r="Q188" s="241">
        <f t="shared" ref="Q188:Q192" si="319">IF(F188=0,"",(P188*I188))</f>
        <v>108.97854264000001</v>
      </c>
      <c r="R188" s="121"/>
    </row>
    <row r="189" spans="1:18" x14ac:dyDescent="0.35">
      <c r="A189" s="69" t="str">
        <f>IF(TRIM(G189)&lt;&gt;"",COUNTA(G$11:$G189)&amp;"","")</f>
        <v>154</v>
      </c>
      <c r="B189" s="284"/>
      <c r="C189" s="284"/>
      <c r="D189" s="34"/>
      <c r="E189" s="228" t="s">
        <v>125</v>
      </c>
      <c r="F189" s="71">
        <f>(F185*14.5)+(F185*8)</f>
        <v>549.22500000000002</v>
      </c>
      <c r="G189" s="72" t="s">
        <v>69</v>
      </c>
      <c r="H189" s="22">
        <v>0.1</v>
      </c>
      <c r="I189" s="49">
        <f t="shared" si="313"/>
        <v>604.14750000000004</v>
      </c>
      <c r="J189" s="240">
        <v>0.62</v>
      </c>
      <c r="K189" s="241">
        <f t="shared" si="314"/>
        <v>374.57145000000003</v>
      </c>
      <c r="L189" s="242">
        <f t="shared" si="315"/>
        <v>53.82</v>
      </c>
      <c r="M189" s="26">
        <v>1.6E-2</v>
      </c>
      <c r="N189" s="26">
        <f t="shared" si="316"/>
        <v>9.666360000000001</v>
      </c>
      <c r="O189" s="241">
        <f t="shared" si="317"/>
        <v>520.2434952000001</v>
      </c>
      <c r="P189" s="243">
        <f t="shared" si="318"/>
        <v>1.4811200000000002</v>
      </c>
      <c r="Q189" s="241">
        <f t="shared" si="319"/>
        <v>894.81494520000024</v>
      </c>
      <c r="R189" s="121"/>
    </row>
    <row r="190" spans="1:18" x14ac:dyDescent="0.35">
      <c r="A190" s="69" t="str">
        <f>IF(TRIM(G190)&lt;&gt;"",COUNTA(G$11:$G190)&amp;"","")</f>
        <v>155</v>
      </c>
      <c r="B190" s="284"/>
      <c r="C190" s="284"/>
      <c r="D190" s="34"/>
      <c r="E190" s="67" t="s">
        <v>149</v>
      </c>
      <c r="F190" s="71">
        <f>(F185*4)</f>
        <v>97.64</v>
      </c>
      <c r="G190" s="72" t="s">
        <v>69</v>
      </c>
      <c r="H190" s="22">
        <v>0.1</v>
      </c>
      <c r="I190" s="49">
        <f t="shared" si="313"/>
        <v>107.404</v>
      </c>
      <c r="J190" s="240">
        <f>17.4/32</f>
        <v>0.54374999999999996</v>
      </c>
      <c r="K190" s="241">
        <f t="shared" si="314"/>
        <v>58.400924999999994</v>
      </c>
      <c r="L190" s="242">
        <f t="shared" ref="L190" si="320">IF(F190=0,"",L$34)</f>
        <v>53.82</v>
      </c>
      <c r="M190" s="26">
        <v>1.6E-2</v>
      </c>
      <c r="N190" s="26">
        <f t="shared" si="316"/>
        <v>1.718464</v>
      </c>
      <c r="O190" s="241">
        <f t="shared" si="317"/>
        <v>92.487732480000005</v>
      </c>
      <c r="P190" s="243">
        <f t="shared" si="318"/>
        <v>1.4048700000000001</v>
      </c>
      <c r="Q190" s="241">
        <f t="shared" si="319"/>
        <v>150.88865748000001</v>
      </c>
      <c r="R190" s="121"/>
    </row>
    <row r="191" spans="1:18" x14ac:dyDescent="0.35">
      <c r="A191" s="69" t="str">
        <f>IF(TRIM(G191)&lt;&gt;"",COUNTA(G$11:$G191)&amp;"","")</f>
        <v>156</v>
      </c>
      <c r="B191" s="284"/>
      <c r="C191" s="284"/>
      <c r="D191" s="34"/>
      <c r="E191" s="228" t="s">
        <v>162</v>
      </c>
      <c r="F191" s="71">
        <f>F185*14.5</f>
        <v>353.94499999999999</v>
      </c>
      <c r="G191" s="72" t="s">
        <v>69</v>
      </c>
      <c r="H191" s="22">
        <v>0.1</v>
      </c>
      <c r="I191" s="49">
        <f t="shared" si="313"/>
        <v>389.33949999999999</v>
      </c>
      <c r="J191" s="240">
        <v>0.49</v>
      </c>
      <c r="K191" s="241">
        <f t="shared" si="314"/>
        <v>190.776355</v>
      </c>
      <c r="L191" s="242">
        <f t="shared" ref="L191:L192" si="321">IF(F191=0,"",L$34)</f>
        <v>53.82</v>
      </c>
      <c r="M191" s="26">
        <v>0.01</v>
      </c>
      <c r="N191" s="26">
        <f t="shared" si="316"/>
        <v>3.8933949999999999</v>
      </c>
      <c r="O191" s="241">
        <f t="shared" si="317"/>
        <v>209.5425189</v>
      </c>
      <c r="P191" s="243">
        <f t="shared" si="318"/>
        <v>1.0282</v>
      </c>
      <c r="Q191" s="241">
        <f t="shared" si="319"/>
        <v>400.31887389999997</v>
      </c>
      <c r="R191" s="121"/>
    </row>
    <row r="192" spans="1:18" x14ac:dyDescent="0.35">
      <c r="A192" s="69" t="str">
        <f>IF(TRIM(G192)&lt;&gt;"",COUNTA(G$11:$G192)&amp;"","")</f>
        <v>157</v>
      </c>
      <c r="B192" s="284"/>
      <c r="C192" s="284"/>
      <c r="D192" s="34"/>
      <c r="E192" s="67" t="s">
        <v>108</v>
      </c>
      <c r="F192" s="71">
        <f>F185*4</f>
        <v>97.64</v>
      </c>
      <c r="G192" s="72" t="s">
        <v>83</v>
      </c>
      <c r="H192" s="22">
        <v>0.1</v>
      </c>
      <c r="I192" s="49">
        <f t="shared" si="313"/>
        <v>107.404</v>
      </c>
      <c r="J192" s="240">
        <v>0.2</v>
      </c>
      <c r="K192" s="241">
        <f t="shared" si="314"/>
        <v>21.480800000000002</v>
      </c>
      <c r="L192" s="242">
        <f t="shared" si="321"/>
        <v>53.82</v>
      </c>
      <c r="M192" s="26">
        <v>1.6E-2</v>
      </c>
      <c r="N192" s="26">
        <f t="shared" si="316"/>
        <v>1.718464</v>
      </c>
      <c r="O192" s="241">
        <f t="shared" si="317"/>
        <v>92.487732480000005</v>
      </c>
      <c r="P192" s="243">
        <f t="shared" si="318"/>
        <v>1.0611200000000001</v>
      </c>
      <c r="Q192" s="241">
        <f t="shared" si="319"/>
        <v>113.96853248000001</v>
      </c>
      <c r="R192" s="121"/>
    </row>
    <row r="193" spans="1:18" x14ac:dyDescent="0.35">
      <c r="A193" s="69" t="str">
        <f>IF(TRIM(G193)&lt;&gt;"",COUNTA(G$11:$G328)&amp;"","")</f>
        <v/>
      </c>
      <c r="B193" s="284"/>
      <c r="C193" s="284"/>
      <c r="D193" s="34"/>
      <c r="E193" s="67"/>
      <c r="F193" s="71"/>
      <c r="G193" s="72"/>
      <c r="H193" s="22"/>
      <c r="I193" s="49"/>
      <c r="J193" s="23"/>
      <c r="K193" s="24"/>
      <c r="L193" s="25"/>
      <c r="M193" s="26"/>
      <c r="N193" s="26"/>
      <c r="O193" s="24"/>
      <c r="P193" s="27"/>
      <c r="Q193" s="24"/>
      <c r="R193" s="121"/>
    </row>
    <row r="194" spans="1:18" x14ac:dyDescent="0.35">
      <c r="A194" s="69" t="str">
        <f>IF(TRIM(G194)&lt;&gt;"",COUNTA(G$11:$G194)&amp;"","")</f>
        <v>158</v>
      </c>
      <c r="B194" s="284"/>
      <c r="C194" s="284"/>
      <c r="D194" s="34"/>
      <c r="E194" s="233" t="s">
        <v>190</v>
      </c>
      <c r="F194" s="234">
        <v>23.54</v>
      </c>
      <c r="G194" s="239" t="s">
        <v>83</v>
      </c>
      <c r="H194" s="22"/>
      <c r="I194" s="49"/>
      <c r="J194" s="23"/>
      <c r="K194" s="24"/>
      <c r="L194" s="25"/>
      <c r="M194" s="26"/>
      <c r="N194" s="26"/>
      <c r="O194" s="24"/>
      <c r="P194" s="27"/>
      <c r="Q194" s="24"/>
      <c r="R194" s="121"/>
    </row>
    <row r="195" spans="1:18" x14ac:dyDescent="0.35">
      <c r="A195" s="69" t="str">
        <f>IF(TRIM(G195)&lt;&gt;"",COUNTA(G$11:$G195)&amp;"","")</f>
        <v>159</v>
      </c>
      <c r="B195" s="284"/>
      <c r="C195" s="284"/>
      <c r="D195" s="34"/>
      <c r="E195" s="67" t="s">
        <v>180</v>
      </c>
      <c r="F195" s="71">
        <f>F194/1.33+1</f>
        <v>18.699248120300751</v>
      </c>
      <c r="G195" s="72" t="s">
        <v>102</v>
      </c>
      <c r="H195" s="22">
        <v>0</v>
      </c>
      <c r="I195" s="49">
        <f t="shared" ref="I195:I196" si="322">IF(F195=0,"",F195+(F195*H195))</f>
        <v>18.699248120300751</v>
      </c>
      <c r="J195" s="240">
        <f>1.26*13</f>
        <v>16.38</v>
      </c>
      <c r="K195" s="241">
        <f t="shared" ref="K195:K196" si="323">IF(F195=0,"",J195*I195)</f>
        <v>306.29368421052629</v>
      </c>
      <c r="L195" s="242">
        <f t="shared" ref="L195:L196" si="324">IF(F195=0,"",L$34)</f>
        <v>53.82</v>
      </c>
      <c r="M195" s="26">
        <f>0.052*13</f>
        <v>0.67599999999999993</v>
      </c>
      <c r="N195" s="26">
        <f t="shared" ref="N195:N196" si="325">IF(F195=0,"",M195*I195)</f>
        <v>12.640691729323306</v>
      </c>
      <c r="O195" s="241">
        <f t="shared" ref="O195:O196" si="326">IF(F195=0,"",N195*L195)</f>
        <v>680.32202887218034</v>
      </c>
      <c r="P195" s="243">
        <f t="shared" ref="P195:P196" si="327">IF(F195=0,"",(K195+O195)/I195)</f>
        <v>52.762319999999995</v>
      </c>
      <c r="Q195" s="241">
        <f t="shared" ref="Q195:Q196" si="328">IF(F195=0,"",(P195*I195))</f>
        <v>986.61571308270663</v>
      </c>
      <c r="R195" s="121"/>
    </row>
    <row r="196" spans="1:18" x14ac:dyDescent="0.35">
      <c r="A196" s="69" t="str">
        <f>IF(TRIM(G196)&lt;&gt;"",COUNTA(G$11:$G196)&amp;"","")</f>
        <v>160</v>
      </c>
      <c r="B196" s="284"/>
      <c r="C196" s="284"/>
      <c r="D196" s="34"/>
      <c r="E196" s="228" t="s">
        <v>123</v>
      </c>
      <c r="F196" s="71">
        <f>F194</f>
        <v>23.54</v>
      </c>
      <c r="G196" s="72" t="s">
        <v>83</v>
      </c>
      <c r="H196" s="22">
        <v>0.1</v>
      </c>
      <c r="I196" s="49">
        <f t="shared" si="322"/>
        <v>25.893999999999998</v>
      </c>
      <c r="J196" s="240">
        <v>1.26</v>
      </c>
      <c r="K196" s="241">
        <f t="shared" si="323"/>
        <v>32.626439999999995</v>
      </c>
      <c r="L196" s="242">
        <f t="shared" si="324"/>
        <v>53.82</v>
      </c>
      <c r="M196" s="26">
        <v>5.1999999999999998E-2</v>
      </c>
      <c r="N196" s="26">
        <f t="shared" si="325"/>
        <v>1.3464879999999999</v>
      </c>
      <c r="O196" s="241">
        <f t="shared" si="326"/>
        <v>72.46798416</v>
      </c>
      <c r="P196" s="243">
        <f t="shared" si="327"/>
        <v>4.0586399999999996</v>
      </c>
      <c r="Q196" s="241">
        <f t="shared" si="328"/>
        <v>105.09442415999999</v>
      </c>
      <c r="R196" s="121"/>
    </row>
    <row r="197" spans="1:18" x14ac:dyDescent="0.35">
      <c r="A197" s="69" t="str">
        <f>IF(TRIM(G197)&lt;&gt;"",COUNTA(G$11:$G197)&amp;"","")</f>
        <v>161</v>
      </c>
      <c r="B197" s="284"/>
      <c r="C197" s="284"/>
      <c r="D197" s="34"/>
      <c r="E197" s="228" t="s">
        <v>124</v>
      </c>
      <c r="F197" s="71">
        <f>F194</f>
        <v>23.54</v>
      </c>
      <c r="G197" s="72" t="s">
        <v>83</v>
      </c>
      <c r="H197" s="22">
        <v>0.1</v>
      </c>
      <c r="I197" s="49">
        <f t="shared" ref="I197:I200" si="329">IF(F197=0,"",F197+(F197*H197))</f>
        <v>25.893999999999998</v>
      </c>
      <c r="J197" s="240">
        <v>1.26</v>
      </c>
      <c r="K197" s="241">
        <f t="shared" ref="K197:K200" si="330">IF(F197=0,"",J197*I197)</f>
        <v>32.626439999999995</v>
      </c>
      <c r="L197" s="242">
        <f t="shared" ref="L197:L198" si="331">IF(F197=0,"",L$34)</f>
        <v>53.82</v>
      </c>
      <c r="M197" s="26">
        <v>5.1999999999999998E-2</v>
      </c>
      <c r="N197" s="26">
        <f t="shared" ref="N197:N200" si="332">IF(F197=0,"",M197*I197)</f>
        <v>1.3464879999999999</v>
      </c>
      <c r="O197" s="241">
        <f t="shared" ref="O197:O200" si="333">IF(F197=0,"",N197*L197)</f>
        <v>72.46798416</v>
      </c>
      <c r="P197" s="243">
        <f t="shared" ref="P197:P200" si="334">IF(F197=0,"",(K197+O197)/I197)</f>
        <v>4.0586399999999996</v>
      </c>
      <c r="Q197" s="241">
        <f t="shared" ref="Q197:Q200" si="335">IF(F197=0,"",(P197*I197))</f>
        <v>105.09442415999999</v>
      </c>
      <c r="R197" s="121"/>
    </row>
    <row r="198" spans="1:18" x14ac:dyDescent="0.35">
      <c r="A198" s="69" t="str">
        <f>IF(TRIM(G198)&lt;&gt;"",COUNTA(G$11:$G198)&amp;"","")</f>
        <v>162</v>
      </c>
      <c r="B198" s="284"/>
      <c r="C198" s="284"/>
      <c r="D198" s="34"/>
      <c r="E198" s="228" t="s">
        <v>125</v>
      </c>
      <c r="F198" s="71">
        <f>(F194*8)</f>
        <v>188.32</v>
      </c>
      <c r="G198" s="72" t="s">
        <v>69</v>
      </c>
      <c r="H198" s="22">
        <v>0.1</v>
      </c>
      <c r="I198" s="49">
        <f t="shared" si="329"/>
        <v>207.15199999999999</v>
      </c>
      <c r="J198" s="240">
        <v>0.62</v>
      </c>
      <c r="K198" s="241">
        <f t="shared" si="330"/>
        <v>128.43423999999999</v>
      </c>
      <c r="L198" s="242">
        <f t="shared" si="331"/>
        <v>53.82</v>
      </c>
      <c r="M198" s="26">
        <v>1.6E-2</v>
      </c>
      <c r="N198" s="26">
        <f t="shared" si="332"/>
        <v>3.314432</v>
      </c>
      <c r="O198" s="241">
        <f t="shared" si="333"/>
        <v>178.38273024</v>
      </c>
      <c r="P198" s="243">
        <f t="shared" si="334"/>
        <v>1.48112</v>
      </c>
      <c r="Q198" s="241">
        <f t="shared" si="335"/>
        <v>306.81697023999999</v>
      </c>
      <c r="R198" s="121"/>
    </row>
    <row r="199" spans="1:18" x14ac:dyDescent="0.35">
      <c r="A199" s="69" t="str">
        <f>IF(TRIM(G199)&lt;&gt;"",COUNTA(G$11:$G199)&amp;"","")</f>
        <v>163</v>
      </c>
      <c r="B199" s="284"/>
      <c r="C199" s="284"/>
      <c r="D199" s="34"/>
      <c r="E199" s="228" t="s">
        <v>162</v>
      </c>
      <c r="F199" s="71">
        <f>F194*13</f>
        <v>306.02</v>
      </c>
      <c r="G199" s="72" t="s">
        <v>69</v>
      </c>
      <c r="H199" s="22">
        <v>0.1</v>
      </c>
      <c r="I199" s="49">
        <f t="shared" si="329"/>
        <v>336.62199999999996</v>
      </c>
      <c r="J199" s="240">
        <v>0.49</v>
      </c>
      <c r="K199" s="241">
        <f t="shared" si="330"/>
        <v>164.94477999999998</v>
      </c>
      <c r="L199" s="242">
        <f t="shared" ref="L199:L200" si="336">IF(F199=0,"",L$34)</f>
        <v>53.82</v>
      </c>
      <c r="M199" s="26">
        <v>0.01</v>
      </c>
      <c r="N199" s="26">
        <f t="shared" si="332"/>
        <v>3.3662199999999998</v>
      </c>
      <c r="O199" s="241">
        <f t="shared" si="333"/>
        <v>181.16996039999998</v>
      </c>
      <c r="P199" s="243">
        <f t="shared" si="334"/>
        <v>1.0282</v>
      </c>
      <c r="Q199" s="241">
        <f t="shared" si="335"/>
        <v>346.11474039999996</v>
      </c>
      <c r="R199" s="121"/>
    </row>
    <row r="200" spans="1:18" x14ac:dyDescent="0.35">
      <c r="A200" s="69" t="str">
        <f>IF(TRIM(G200)&lt;&gt;"",COUNTA(G$11:$G200)&amp;"","")</f>
        <v>164</v>
      </c>
      <c r="B200" s="284"/>
      <c r="C200" s="284"/>
      <c r="D200" s="34"/>
      <c r="E200" s="67" t="s">
        <v>108</v>
      </c>
      <c r="F200" s="71">
        <f>F194*2</f>
        <v>47.08</v>
      </c>
      <c r="G200" s="72" t="s">
        <v>83</v>
      </c>
      <c r="H200" s="22">
        <v>0.1</v>
      </c>
      <c r="I200" s="49">
        <f t="shared" si="329"/>
        <v>51.787999999999997</v>
      </c>
      <c r="J200" s="240">
        <v>0.2</v>
      </c>
      <c r="K200" s="241">
        <f t="shared" si="330"/>
        <v>10.3576</v>
      </c>
      <c r="L200" s="242">
        <f t="shared" si="336"/>
        <v>53.82</v>
      </c>
      <c r="M200" s="26">
        <v>1.6E-2</v>
      </c>
      <c r="N200" s="26">
        <f t="shared" si="332"/>
        <v>0.82860800000000001</v>
      </c>
      <c r="O200" s="241">
        <f t="shared" si="333"/>
        <v>44.59568256</v>
      </c>
      <c r="P200" s="243">
        <f t="shared" si="334"/>
        <v>1.0611200000000001</v>
      </c>
      <c r="Q200" s="241">
        <f t="shared" si="335"/>
        <v>54.953282559999998</v>
      </c>
      <c r="R200" s="121"/>
    </row>
    <row r="201" spans="1:18" x14ac:dyDescent="0.35">
      <c r="A201" s="69" t="str">
        <f>IF(TRIM(G201)&lt;&gt;"",COUNTA(G$11:$G336)&amp;"","")</f>
        <v/>
      </c>
      <c r="B201" s="284"/>
      <c r="C201" s="284"/>
      <c r="D201" s="34"/>
      <c r="E201" s="67"/>
      <c r="F201" s="71"/>
      <c r="G201" s="72"/>
      <c r="H201" s="22"/>
      <c r="I201" s="49"/>
      <c r="J201" s="23"/>
      <c r="K201" s="24"/>
      <c r="L201" s="25"/>
      <c r="M201" s="26"/>
      <c r="N201" s="26"/>
      <c r="O201" s="24"/>
      <c r="P201" s="27"/>
      <c r="Q201" s="24"/>
      <c r="R201" s="121"/>
    </row>
    <row r="202" spans="1:18" x14ac:dyDescent="0.35">
      <c r="A202" s="69" t="str">
        <f>IF(TRIM(G202)&lt;&gt;"",COUNTA(G$11:$G202)&amp;"","")</f>
        <v>165</v>
      </c>
      <c r="B202" s="284"/>
      <c r="C202" s="284"/>
      <c r="D202" s="34"/>
      <c r="E202" s="233" t="s">
        <v>199</v>
      </c>
      <c r="F202" s="234">
        <v>17.48</v>
      </c>
      <c r="G202" s="238" t="s">
        <v>83</v>
      </c>
      <c r="H202" s="22"/>
      <c r="I202" s="49"/>
      <c r="J202" s="23"/>
      <c r="K202" s="24"/>
      <c r="L202" s="25"/>
      <c r="M202" s="26"/>
      <c r="N202" s="26"/>
      <c r="O202" s="24"/>
      <c r="P202" s="27"/>
      <c r="Q202" s="24"/>
      <c r="R202" s="121"/>
    </row>
    <row r="203" spans="1:18" x14ac:dyDescent="0.35">
      <c r="A203" s="69" t="str">
        <f>IF(TRIM(G203)&lt;&gt;"",COUNTA(G$11:$G203)&amp;"","")</f>
        <v>166</v>
      </c>
      <c r="B203" s="284"/>
      <c r="C203" s="284"/>
      <c r="D203" s="34"/>
      <c r="E203" s="67" t="s">
        <v>180</v>
      </c>
      <c r="F203" s="71">
        <f>F202/1.33+1</f>
        <v>14.142857142857142</v>
      </c>
      <c r="G203" s="63" t="s">
        <v>102</v>
      </c>
      <c r="H203" s="22">
        <v>0</v>
      </c>
      <c r="I203" s="49">
        <f t="shared" ref="I203:I204" si="337">IF(F203=0,"",F203+(F203*H203))</f>
        <v>14.142857142857142</v>
      </c>
      <c r="J203" s="240">
        <f>1.26*13</f>
        <v>16.38</v>
      </c>
      <c r="K203" s="241">
        <f t="shared" ref="K203:K204" si="338">IF(F203=0,"",J203*I203)</f>
        <v>231.65999999999997</v>
      </c>
      <c r="L203" s="242">
        <f t="shared" ref="L203:L204" si="339">IF(F203=0,"",L$34)</f>
        <v>53.82</v>
      </c>
      <c r="M203" s="26">
        <f>0.052*13</f>
        <v>0.67599999999999993</v>
      </c>
      <c r="N203" s="26">
        <f t="shared" ref="N203:N204" si="340">IF(F203=0,"",M203*I203)</f>
        <v>9.5605714285714267</v>
      </c>
      <c r="O203" s="241">
        <f t="shared" ref="O203:O204" si="341">IF(F203=0,"",N203*L203)</f>
        <v>514.54995428571419</v>
      </c>
      <c r="P203" s="243">
        <f t="shared" ref="P203:P204" si="342">IF(F203=0,"",(K203+O203)/I203)</f>
        <v>52.762319999999995</v>
      </c>
      <c r="Q203" s="241">
        <f t="shared" ref="Q203:Q204" si="343">IF(F203=0,"",(P203*I203))</f>
        <v>746.20995428571416</v>
      </c>
      <c r="R203" s="121"/>
    </row>
    <row r="204" spans="1:18" x14ac:dyDescent="0.35">
      <c r="A204" s="69" t="str">
        <f>IF(TRIM(G204)&lt;&gt;"",COUNTA(G$11:$G204)&amp;"","")</f>
        <v>167</v>
      </c>
      <c r="B204" s="284"/>
      <c r="C204" s="284"/>
      <c r="D204" s="34"/>
      <c r="E204" s="228" t="s">
        <v>123</v>
      </c>
      <c r="F204" s="71">
        <f>F202</f>
        <v>17.48</v>
      </c>
      <c r="G204" s="63" t="s">
        <v>83</v>
      </c>
      <c r="H204" s="22">
        <v>0.1</v>
      </c>
      <c r="I204" s="49">
        <f t="shared" si="337"/>
        <v>19.228000000000002</v>
      </c>
      <c r="J204" s="240">
        <v>1.26</v>
      </c>
      <c r="K204" s="241">
        <f t="shared" si="338"/>
        <v>24.22728</v>
      </c>
      <c r="L204" s="242">
        <f t="shared" si="339"/>
        <v>53.82</v>
      </c>
      <c r="M204" s="26">
        <v>5.1999999999999998E-2</v>
      </c>
      <c r="N204" s="26">
        <f t="shared" si="340"/>
        <v>0.99985600000000008</v>
      </c>
      <c r="O204" s="241">
        <f t="shared" si="341"/>
        <v>53.812249920000006</v>
      </c>
      <c r="P204" s="243">
        <f t="shared" si="342"/>
        <v>4.0586400000000005</v>
      </c>
      <c r="Q204" s="241">
        <f t="shared" si="343"/>
        <v>78.039529920000021</v>
      </c>
      <c r="R204" s="121"/>
    </row>
    <row r="205" spans="1:18" x14ac:dyDescent="0.35">
      <c r="A205" s="69" t="str">
        <f>IF(TRIM(G205)&lt;&gt;"",COUNTA(G$11:$G205)&amp;"","")</f>
        <v>168</v>
      </c>
      <c r="B205" s="284"/>
      <c r="C205" s="284"/>
      <c r="D205" s="34"/>
      <c r="E205" s="228" t="s">
        <v>124</v>
      </c>
      <c r="F205" s="71">
        <f>F202</f>
        <v>17.48</v>
      </c>
      <c r="G205" s="63" t="s">
        <v>83</v>
      </c>
      <c r="H205" s="22">
        <v>0.1</v>
      </c>
      <c r="I205" s="49">
        <f t="shared" ref="I205:I208" si="344">IF(F205=0,"",F205+(F205*H205))</f>
        <v>19.228000000000002</v>
      </c>
      <c r="J205" s="240">
        <v>1.26</v>
      </c>
      <c r="K205" s="241">
        <f t="shared" ref="K205:K208" si="345">IF(F205=0,"",J205*I205)</f>
        <v>24.22728</v>
      </c>
      <c r="L205" s="242">
        <f t="shared" ref="L205:L206" si="346">IF(F205=0,"",L$34)</f>
        <v>53.82</v>
      </c>
      <c r="M205" s="26">
        <v>5.1999999999999998E-2</v>
      </c>
      <c r="N205" s="26">
        <f t="shared" ref="N205:N208" si="347">IF(F205=0,"",M205*I205)</f>
        <v>0.99985600000000008</v>
      </c>
      <c r="O205" s="241">
        <f t="shared" ref="O205:O208" si="348">IF(F205=0,"",N205*L205)</f>
        <v>53.812249920000006</v>
      </c>
      <c r="P205" s="243">
        <f t="shared" ref="P205:P208" si="349">IF(F205=0,"",(K205+O205)/I205)</f>
        <v>4.0586400000000005</v>
      </c>
      <c r="Q205" s="241">
        <f t="shared" ref="Q205:Q208" si="350">IF(F205=0,"",(P205*I205))</f>
        <v>78.039529920000021</v>
      </c>
      <c r="R205" s="121"/>
    </row>
    <row r="206" spans="1:18" x14ac:dyDescent="0.35">
      <c r="A206" s="69" t="str">
        <f>IF(TRIM(G206)&lt;&gt;"",COUNTA(G$11:$G206)&amp;"","")</f>
        <v>169</v>
      </c>
      <c r="B206" s="284"/>
      <c r="C206" s="284"/>
      <c r="D206" s="34"/>
      <c r="E206" s="228" t="s">
        <v>125</v>
      </c>
      <c r="F206" s="71">
        <f>(F202*8.5)</f>
        <v>148.58000000000001</v>
      </c>
      <c r="G206" s="63" t="s">
        <v>69</v>
      </c>
      <c r="H206" s="22">
        <v>0.1</v>
      </c>
      <c r="I206" s="49">
        <f t="shared" si="344"/>
        <v>163.43800000000002</v>
      </c>
      <c r="J206" s="240">
        <v>0.62</v>
      </c>
      <c r="K206" s="241">
        <f t="shared" si="345"/>
        <v>101.33156000000001</v>
      </c>
      <c r="L206" s="242">
        <f t="shared" si="346"/>
        <v>53.82</v>
      </c>
      <c r="M206" s="26">
        <v>1.6E-2</v>
      </c>
      <c r="N206" s="26">
        <f t="shared" si="347"/>
        <v>2.6150080000000004</v>
      </c>
      <c r="O206" s="241">
        <f t="shared" si="348"/>
        <v>140.73973056000003</v>
      </c>
      <c r="P206" s="243">
        <f t="shared" si="349"/>
        <v>1.48112</v>
      </c>
      <c r="Q206" s="241">
        <f t="shared" si="350"/>
        <v>242.07129056000002</v>
      </c>
      <c r="R206" s="121"/>
    </row>
    <row r="207" spans="1:18" x14ac:dyDescent="0.35">
      <c r="A207" s="69"/>
      <c r="B207" s="284"/>
      <c r="C207" s="284"/>
      <c r="D207" s="34"/>
      <c r="E207" s="228" t="s">
        <v>162</v>
      </c>
      <c r="F207" s="71">
        <f>F202*13</f>
        <v>227.24</v>
      </c>
      <c r="G207" s="63" t="s">
        <v>69</v>
      </c>
      <c r="H207" s="22">
        <v>0.1</v>
      </c>
      <c r="I207" s="49">
        <f t="shared" si="344"/>
        <v>249.964</v>
      </c>
      <c r="J207" s="240">
        <v>0.49</v>
      </c>
      <c r="K207" s="241">
        <f t="shared" si="345"/>
        <v>122.48236</v>
      </c>
      <c r="L207" s="242">
        <f t="shared" ref="L207:L208" si="351">IF(F207=0,"",L$34)</f>
        <v>53.82</v>
      </c>
      <c r="M207" s="26">
        <v>0.01</v>
      </c>
      <c r="N207" s="26">
        <f t="shared" si="347"/>
        <v>2.4996399999999999</v>
      </c>
      <c r="O207" s="241">
        <f t="shared" si="348"/>
        <v>134.5306248</v>
      </c>
      <c r="P207" s="243">
        <f t="shared" si="349"/>
        <v>1.0282</v>
      </c>
      <c r="Q207" s="241">
        <f t="shared" si="350"/>
        <v>257.01298480000003</v>
      </c>
      <c r="R207" s="121"/>
    </row>
    <row r="208" spans="1:18" x14ac:dyDescent="0.35">
      <c r="A208" s="69" t="str">
        <f>IF(TRIM(G208)&lt;&gt;"",COUNTA(G$11:$G208)&amp;"","")</f>
        <v>171</v>
      </c>
      <c r="B208" s="284"/>
      <c r="C208" s="284"/>
      <c r="D208" s="34"/>
      <c r="E208" s="67" t="s">
        <v>108</v>
      </c>
      <c r="F208" s="71">
        <f>F202*2</f>
        <v>34.96</v>
      </c>
      <c r="G208" s="63" t="s">
        <v>83</v>
      </c>
      <c r="H208" s="22">
        <v>0.1</v>
      </c>
      <c r="I208" s="49">
        <f t="shared" si="344"/>
        <v>38.456000000000003</v>
      </c>
      <c r="J208" s="240">
        <v>0.2</v>
      </c>
      <c r="K208" s="241">
        <f t="shared" si="345"/>
        <v>7.6912000000000011</v>
      </c>
      <c r="L208" s="242">
        <f t="shared" si="351"/>
        <v>53.82</v>
      </c>
      <c r="M208" s="26">
        <v>1.6E-2</v>
      </c>
      <c r="N208" s="26">
        <f t="shared" si="347"/>
        <v>0.61529600000000007</v>
      </c>
      <c r="O208" s="241">
        <f t="shared" si="348"/>
        <v>33.115230720000007</v>
      </c>
      <c r="P208" s="243">
        <f t="shared" si="349"/>
        <v>1.0611200000000001</v>
      </c>
      <c r="Q208" s="241">
        <f t="shared" si="350"/>
        <v>40.806430720000009</v>
      </c>
      <c r="R208" s="121"/>
    </row>
    <row r="209" spans="1:18" x14ac:dyDescent="0.35">
      <c r="A209" s="69"/>
      <c r="B209" s="284"/>
      <c r="C209" s="284"/>
      <c r="D209" s="34"/>
      <c r="E209" s="67"/>
      <c r="F209" s="71"/>
      <c r="G209" s="72"/>
      <c r="H209" s="22"/>
      <c r="I209" s="49"/>
      <c r="J209" s="23"/>
      <c r="K209" s="24"/>
      <c r="L209" s="25"/>
      <c r="M209" s="26"/>
      <c r="N209" s="26"/>
      <c r="O209" s="24"/>
      <c r="P209" s="27"/>
      <c r="Q209" s="24"/>
      <c r="R209" s="121"/>
    </row>
    <row r="210" spans="1:18" x14ac:dyDescent="0.35">
      <c r="A210" s="69" t="str">
        <f>IF(TRIM(G210)&lt;&gt;"",COUNTA(G$11:$G210)&amp;"","")</f>
        <v>172</v>
      </c>
      <c r="B210" s="284"/>
      <c r="C210" s="284"/>
      <c r="D210" s="34"/>
      <c r="E210" s="233" t="s">
        <v>178</v>
      </c>
      <c r="F210" s="234">
        <v>19.89</v>
      </c>
      <c r="G210" s="238" t="s">
        <v>83</v>
      </c>
      <c r="H210" s="22"/>
      <c r="I210" s="49"/>
      <c r="J210" s="23"/>
      <c r="K210" s="24"/>
      <c r="L210" s="25"/>
      <c r="M210" s="26"/>
      <c r="N210" s="26"/>
      <c r="O210" s="24"/>
      <c r="P210" s="27"/>
      <c r="Q210" s="24"/>
      <c r="R210" s="121"/>
    </row>
    <row r="211" spans="1:18" x14ac:dyDescent="0.35">
      <c r="A211" s="69" t="str">
        <f>IF(TRIM(G211)&lt;&gt;"",COUNTA(G$11:$G211)&amp;"","")</f>
        <v>173</v>
      </c>
      <c r="B211" s="284"/>
      <c r="C211" s="284"/>
      <c r="D211" s="34"/>
      <c r="E211" s="67" t="s">
        <v>122</v>
      </c>
      <c r="F211" s="71">
        <f>F210/1.33+1</f>
        <v>15.954887218045112</v>
      </c>
      <c r="G211" s="63" t="s">
        <v>102</v>
      </c>
      <c r="H211" s="22">
        <v>0</v>
      </c>
      <c r="I211" s="49">
        <f t="shared" ref="I211:I212" si="352">IF(F211=0,"",F211+(F211*H211))</f>
        <v>15.954887218045112</v>
      </c>
      <c r="J211" s="240">
        <f>1.26*14.5</f>
        <v>18.27</v>
      </c>
      <c r="K211" s="241">
        <f t="shared" ref="K211:K212" si="353">IF(F211=0,"",J211*I211)</f>
        <v>291.49578947368417</v>
      </c>
      <c r="L211" s="242">
        <f t="shared" ref="L211:L212" si="354">IF(F211=0,"",L$34)</f>
        <v>53.82</v>
      </c>
      <c r="M211" s="26">
        <f>0.052*14.5</f>
        <v>0.754</v>
      </c>
      <c r="N211" s="26">
        <f t="shared" ref="N211:N212" si="355">IF(F211=0,"",M211*I211)</f>
        <v>12.029984962406015</v>
      </c>
      <c r="O211" s="241">
        <f t="shared" ref="O211:O212" si="356">IF(F211=0,"",N211*L211)</f>
        <v>647.45379067669171</v>
      </c>
      <c r="P211" s="243">
        <f t="shared" ref="P211:P212" si="357">IF(F211=0,"",(K211+O211)/I211)</f>
        <v>58.850279999999998</v>
      </c>
      <c r="Q211" s="241">
        <f t="shared" ref="Q211:Q212" si="358">IF(F211=0,"",(P211*I211))</f>
        <v>938.94958015037582</v>
      </c>
      <c r="R211" s="121"/>
    </row>
    <row r="212" spans="1:18" x14ac:dyDescent="0.35">
      <c r="A212" s="69" t="str">
        <f>IF(TRIM(G212)&lt;&gt;"",COUNTA(G$11:$G212)&amp;"","")</f>
        <v>174</v>
      </c>
      <c r="B212" s="284"/>
      <c r="C212" s="284"/>
      <c r="D212" s="34"/>
      <c r="E212" s="228" t="s">
        <v>123</v>
      </c>
      <c r="F212" s="71">
        <f>F210</f>
        <v>19.89</v>
      </c>
      <c r="G212" s="63" t="s">
        <v>83</v>
      </c>
      <c r="H212" s="22">
        <v>0.1</v>
      </c>
      <c r="I212" s="49">
        <f t="shared" si="352"/>
        <v>21.879000000000001</v>
      </c>
      <c r="J212" s="240">
        <v>1.26</v>
      </c>
      <c r="K212" s="241">
        <f t="shared" si="353"/>
        <v>27.567540000000001</v>
      </c>
      <c r="L212" s="242">
        <f t="shared" si="354"/>
        <v>53.82</v>
      </c>
      <c r="M212" s="26">
        <v>5.1999999999999998E-2</v>
      </c>
      <c r="N212" s="26">
        <f t="shared" si="355"/>
        <v>1.1377079999999999</v>
      </c>
      <c r="O212" s="241">
        <f t="shared" si="356"/>
        <v>61.23144456</v>
      </c>
      <c r="P212" s="243">
        <f t="shared" si="357"/>
        <v>4.0586400000000005</v>
      </c>
      <c r="Q212" s="241">
        <f t="shared" si="358"/>
        <v>88.798984560000022</v>
      </c>
      <c r="R212" s="121"/>
    </row>
    <row r="213" spans="1:18" x14ac:dyDescent="0.35">
      <c r="A213" s="69" t="str">
        <f>IF(TRIM(G213)&lt;&gt;"",COUNTA(G$11:$G213)&amp;"","")</f>
        <v>175</v>
      </c>
      <c r="B213" s="284"/>
      <c r="C213" s="284"/>
      <c r="D213" s="34"/>
      <c r="E213" s="228" t="s">
        <v>124</v>
      </c>
      <c r="F213" s="71">
        <f>F210</f>
        <v>19.89</v>
      </c>
      <c r="G213" s="63" t="s">
        <v>83</v>
      </c>
      <c r="H213" s="22">
        <v>0.1</v>
      </c>
      <c r="I213" s="49">
        <f t="shared" ref="I213:I215" si="359">IF(F213=0,"",F213+(F213*H213))</f>
        <v>21.879000000000001</v>
      </c>
      <c r="J213" s="240">
        <v>1.26</v>
      </c>
      <c r="K213" s="241">
        <f t="shared" ref="K213:K215" si="360">IF(F213=0,"",J213*I213)</f>
        <v>27.567540000000001</v>
      </c>
      <c r="L213" s="242">
        <f t="shared" ref="L213:L215" si="361">IF(F213=0,"",L$34)</f>
        <v>53.82</v>
      </c>
      <c r="M213" s="26">
        <v>5.1999999999999998E-2</v>
      </c>
      <c r="N213" s="26">
        <f t="shared" ref="N213:N215" si="362">IF(F213=0,"",M213*I213)</f>
        <v>1.1377079999999999</v>
      </c>
      <c r="O213" s="241">
        <f t="shared" ref="O213:O215" si="363">IF(F213=0,"",N213*L213)</f>
        <v>61.23144456</v>
      </c>
      <c r="P213" s="243">
        <f t="shared" ref="P213:P215" si="364">IF(F213=0,"",(K213+O213)/I213)</f>
        <v>4.0586400000000005</v>
      </c>
      <c r="Q213" s="241">
        <f t="shared" ref="Q213:Q215" si="365">IF(F213=0,"",(P213*I213))</f>
        <v>88.798984560000022</v>
      </c>
      <c r="R213" s="121"/>
    </row>
    <row r="214" spans="1:18" x14ac:dyDescent="0.35">
      <c r="A214" s="69" t="str">
        <f>IF(TRIM(G214)&lt;&gt;"",COUNTA(G$11:$G214)&amp;"","")</f>
        <v>176</v>
      </c>
      <c r="B214" s="284"/>
      <c r="C214" s="284"/>
      <c r="D214" s="34"/>
      <c r="E214" s="228" t="s">
        <v>125</v>
      </c>
      <c r="F214" s="71">
        <f>(F210*8.5)+(F210*8)</f>
        <v>328.185</v>
      </c>
      <c r="G214" s="63" t="s">
        <v>69</v>
      </c>
      <c r="H214" s="22">
        <v>0.1</v>
      </c>
      <c r="I214" s="49">
        <f t="shared" si="359"/>
        <v>361.00350000000003</v>
      </c>
      <c r="J214" s="240">
        <v>0.62</v>
      </c>
      <c r="K214" s="241">
        <f t="shared" si="360"/>
        <v>223.82217000000003</v>
      </c>
      <c r="L214" s="242">
        <f t="shared" si="361"/>
        <v>53.82</v>
      </c>
      <c r="M214" s="26">
        <v>1.6E-2</v>
      </c>
      <c r="N214" s="26">
        <f t="shared" si="362"/>
        <v>5.7760560000000005</v>
      </c>
      <c r="O214" s="241">
        <f t="shared" si="363"/>
        <v>310.86733392000002</v>
      </c>
      <c r="P214" s="243">
        <f t="shared" si="364"/>
        <v>1.4811200000000002</v>
      </c>
      <c r="Q214" s="241">
        <f t="shared" si="365"/>
        <v>534.68950392000011</v>
      </c>
      <c r="R214" s="121"/>
    </row>
    <row r="215" spans="1:18" x14ac:dyDescent="0.35">
      <c r="A215" s="69" t="str">
        <f>IF(TRIM(G215)&lt;&gt;"",COUNTA(G$11:$G215)&amp;"","")</f>
        <v>177</v>
      </c>
      <c r="B215" s="284"/>
      <c r="C215" s="284"/>
      <c r="D215" s="34"/>
      <c r="E215" s="67" t="s">
        <v>108</v>
      </c>
      <c r="F215" s="71">
        <f>F210*4</f>
        <v>79.56</v>
      </c>
      <c r="G215" s="63" t="s">
        <v>83</v>
      </c>
      <c r="H215" s="22">
        <v>0.1</v>
      </c>
      <c r="I215" s="49">
        <f t="shared" si="359"/>
        <v>87.516000000000005</v>
      </c>
      <c r="J215" s="240">
        <v>0.2</v>
      </c>
      <c r="K215" s="241">
        <f t="shared" si="360"/>
        <v>17.503200000000003</v>
      </c>
      <c r="L215" s="242">
        <f t="shared" si="361"/>
        <v>53.82</v>
      </c>
      <c r="M215" s="26">
        <v>1.6E-2</v>
      </c>
      <c r="N215" s="26">
        <f t="shared" si="362"/>
        <v>1.4002560000000002</v>
      </c>
      <c r="O215" s="241">
        <f t="shared" si="363"/>
        <v>75.361777920000009</v>
      </c>
      <c r="P215" s="243">
        <f t="shared" si="364"/>
        <v>1.0611200000000001</v>
      </c>
      <c r="Q215" s="241">
        <f t="shared" si="365"/>
        <v>92.864977920000015</v>
      </c>
      <c r="R215" s="121"/>
    </row>
    <row r="216" spans="1:18" x14ac:dyDescent="0.35">
      <c r="A216" s="69"/>
      <c r="B216" s="284"/>
      <c r="C216" s="284"/>
      <c r="D216" s="34"/>
      <c r="E216" s="67"/>
      <c r="F216" s="71"/>
      <c r="G216" s="72"/>
      <c r="H216" s="22"/>
      <c r="I216" s="49"/>
      <c r="J216" s="23"/>
      <c r="K216" s="24"/>
      <c r="L216" s="25"/>
      <c r="M216" s="26"/>
      <c r="N216" s="26"/>
      <c r="O216" s="24"/>
      <c r="P216" s="27"/>
      <c r="Q216" s="24"/>
      <c r="R216" s="121"/>
    </row>
    <row r="217" spans="1:18" x14ac:dyDescent="0.35">
      <c r="A217" s="69" t="str">
        <f>IF(TRIM(G217)&lt;&gt;"",COUNTA(G$11:$G217)&amp;"","")</f>
        <v>178</v>
      </c>
      <c r="B217" s="284"/>
      <c r="C217" s="284"/>
      <c r="D217" s="34"/>
      <c r="E217" s="233" t="s">
        <v>172</v>
      </c>
      <c r="F217" s="234">
        <v>9.7899999999999991</v>
      </c>
      <c r="G217" s="238" t="s">
        <v>83</v>
      </c>
      <c r="H217" s="22"/>
      <c r="I217" s="49"/>
      <c r="J217" s="23"/>
      <c r="K217" s="24"/>
      <c r="L217" s="25"/>
      <c r="M217" s="26"/>
      <c r="N217" s="26"/>
      <c r="O217" s="24"/>
      <c r="P217" s="27"/>
      <c r="Q217" s="24"/>
      <c r="R217" s="121"/>
    </row>
    <row r="218" spans="1:18" x14ac:dyDescent="0.35">
      <c r="A218" s="69" t="str">
        <f>IF(TRIM(G218)&lt;&gt;"",COUNTA(G$11:$G218)&amp;"","")</f>
        <v>179</v>
      </c>
      <c r="B218" s="284"/>
      <c r="C218" s="284"/>
      <c r="D218" s="34"/>
      <c r="E218" s="67" t="s">
        <v>152</v>
      </c>
      <c r="F218" s="71">
        <f>F217/1.33+1</f>
        <v>8.3609022556390968</v>
      </c>
      <c r="G218" s="63" t="s">
        <v>102</v>
      </c>
      <c r="H218" s="22">
        <v>0</v>
      </c>
      <c r="I218" s="49">
        <f t="shared" ref="I218:I219" si="366">IF(F218=0,"",F218+(F218*H218))</f>
        <v>8.3609022556390968</v>
      </c>
      <c r="J218" s="240">
        <f>1.26*12</f>
        <v>15.120000000000001</v>
      </c>
      <c r="K218" s="241">
        <f t="shared" ref="K218:K219" si="367">IF(F218=0,"",J218*I218)</f>
        <v>126.41684210526316</v>
      </c>
      <c r="L218" s="242">
        <f t="shared" ref="L218:L219" si="368">IF(F218=0,"",L$34)</f>
        <v>53.82</v>
      </c>
      <c r="M218" s="26">
        <f>0.052*12</f>
        <v>0.624</v>
      </c>
      <c r="N218" s="26">
        <f t="shared" ref="N218:N219" si="369">IF(F218=0,"",M218*I218)</f>
        <v>5.2172030075187967</v>
      </c>
      <c r="O218" s="241">
        <f t="shared" ref="O218:O219" si="370">IF(F218=0,"",N218*L218)</f>
        <v>280.78986586466164</v>
      </c>
      <c r="P218" s="243">
        <f t="shared" ref="P218:P219" si="371">IF(F218=0,"",(K218+O218)/I218)</f>
        <v>48.703679999999999</v>
      </c>
      <c r="Q218" s="241">
        <f t="shared" ref="Q218:Q219" si="372">IF(F218=0,"",(P218*I218))</f>
        <v>407.20670796992476</v>
      </c>
      <c r="R218" s="121"/>
    </row>
    <row r="219" spans="1:18" x14ac:dyDescent="0.35">
      <c r="A219" s="69" t="str">
        <f>IF(TRIM(G219)&lt;&gt;"",COUNTA(G$11:$G219)&amp;"","")</f>
        <v>180</v>
      </c>
      <c r="B219" s="284"/>
      <c r="C219" s="284"/>
      <c r="D219" s="34"/>
      <c r="E219" s="228" t="s">
        <v>123</v>
      </c>
      <c r="F219" s="71">
        <f>F217</f>
        <v>9.7899999999999991</v>
      </c>
      <c r="G219" s="63" t="s">
        <v>83</v>
      </c>
      <c r="H219" s="22">
        <v>0.1</v>
      </c>
      <c r="I219" s="49">
        <f t="shared" si="366"/>
        <v>10.768999999999998</v>
      </c>
      <c r="J219" s="240">
        <v>1.26</v>
      </c>
      <c r="K219" s="241">
        <f t="shared" si="367"/>
        <v>13.568939999999998</v>
      </c>
      <c r="L219" s="242">
        <f t="shared" si="368"/>
        <v>53.82</v>
      </c>
      <c r="M219" s="26">
        <v>5.1999999999999998E-2</v>
      </c>
      <c r="N219" s="26">
        <f t="shared" si="369"/>
        <v>0.55998799999999993</v>
      </c>
      <c r="O219" s="241">
        <f t="shared" si="370"/>
        <v>30.138554159999995</v>
      </c>
      <c r="P219" s="243">
        <f t="shared" si="371"/>
        <v>4.0586400000000005</v>
      </c>
      <c r="Q219" s="241">
        <f t="shared" si="372"/>
        <v>43.707494159999996</v>
      </c>
      <c r="R219" s="121"/>
    </row>
    <row r="220" spans="1:18" x14ac:dyDescent="0.35">
      <c r="A220" s="69" t="str">
        <f>IF(TRIM(G220)&lt;&gt;"",COUNTA(G$11:$G220)&amp;"","")</f>
        <v>181</v>
      </c>
      <c r="B220" s="284"/>
      <c r="C220" s="284"/>
      <c r="D220" s="34"/>
      <c r="E220" s="228" t="s">
        <v>124</v>
      </c>
      <c r="F220" s="71">
        <f>F217</f>
        <v>9.7899999999999991</v>
      </c>
      <c r="G220" s="63" t="s">
        <v>83</v>
      </c>
      <c r="H220" s="22">
        <v>0.1</v>
      </c>
      <c r="I220" s="49">
        <f t="shared" ref="I220:I223" si="373">IF(F220=0,"",F220+(F220*H220))</f>
        <v>10.768999999999998</v>
      </c>
      <c r="J220" s="240">
        <v>1.26</v>
      </c>
      <c r="K220" s="241">
        <f t="shared" ref="K220:K223" si="374">IF(F220=0,"",J220*I220)</f>
        <v>13.568939999999998</v>
      </c>
      <c r="L220" s="242">
        <f t="shared" ref="L220:L221" si="375">IF(F220=0,"",L$34)</f>
        <v>53.82</v>
      </c>
      <c r="M220" s="26">
        <v>5.1999999999999998E-2</v>
      </c>
      <c r="N220" s="26">
        <f t="shared" ref="N220:N223" si="376">IF(F220=0,"",M220*I220)</f>
        <v>0.55998799999999993</v>
      </c>
      <c r="O220" s="241">
        <f t="shared" ref="O220:O223" si="377">IF(F220=0,"",N220*L220)</f>
        <v>30.138554159999995</v>
      </c>
      <c r="P220" s="243">
        <f t="shared" ref="P220:P223" si="378">IF(F220=0,"",(K220+O220)/I220)</f>
        <v>4.0586400000000005</v>
      </c>
      <c r="Q220" s="241">
        <f t="shared" ref="Q220:Q223" si="379">IF(F220=0,"",(P220*I220))</f>
        <v>43.707494159999996</v>
      </c>
      <c r="R220" s="121"/>
    </row>
    <row r="221" spans="1:18" x14ac:dyDescent="0.35">
      <c r="A221" s="69" t="str">
        <f>IF(TRIM(G221)&lt;&gt;"",COUNTA(G$11:$G221)&amp;"","")</f>
        <v>182</v>
      </c>
      <c r="B221" s="284"/>
      <c r="C221" s="284"/>
      <c r="D221" s="34"/>
      <c r="E221" s="228" t="s">
        <v>125</v>
      </c>
      <c r="F221" s="71">
        <f>(F217*12)+(F217*8.5)</f>
        <v>200.69499999999999</v>
      </c>
      <c r="G221" s="63" t="s">
        <v>69</v>
      </c>
      <c r="H221" s="22">
        <v>0.1</v>
      </c>
      <c r="I221" s="49">
        <f t="shared" si="373"/>
        <v>220.7645</v>
      </c>
      <c r="J221" s="240">
        <v>0.62</v>
      </c>
      <c r="K221" s="241">
        <f t="shared" si="374"/>
        <v>136.87398999999999</v>
      </c>
      <c r="L221" s="242">
        <f t="shared" si="375"/>
        <v>53.82</v>
      </c>
      <c r="M221" s="26">
        <v>1.6E-2</v>
      </c>
      <c r="N221" s="26">
        <f t="shared" si="376"/>
        <v>3.532232</v>
      </c>
      <c r="O221" s="241">
        <f t="shared" si="377"/>
        <v>190.10472623999999</v>
      </c>
      <c r="P221" s="243">
        <f t="shared" si="378"/>
        <v>1.48112</v>
      </c>
      <c r="Q221" s="241">
        <f t="shared" si="379"/>
        <v>326.97871623999998</v>
      </c>
      <c r="R221" s="121"/>
    </row>
    <row r="222" spans="1:18" x14ac:dyDescent="0.35">
      <c r="A222" s="69" t="str">
        <f>IF(TRIM(G222)&lt;&gt;"",COUNTA(G$11:$G222)&amp;"","")</f>
        <v>183</v>
      </c>
      <c r="B222" s="284"/>
      <c r="C222" s="284"/>
      <c r="D222" s="34"/>
      <c r="E222" s="228" t="s">
        <v>153</v>
      </c>
      <c r="F222" s="71">
        <f>(F217/4)*2</f>
        <v>4.8949999999999996</v>
      </c>
      <c r="G222" s="63" t="s">
        <v>83</v>
      </c>
      <c r="H222" s="22">
        <v>0.1</v>
      </c>
      <c r="I222" s="49">
        <f t="shared" si="373"/>
        <v>5.3844999999999992</v>
      </c>
      <c r="J222" s="240">
        <v>1.26</v>
      </c>
      <c r="K222" s="241">
        <f t="shared" si="374"/>
        <v>6.7844699999999989</v>
      </c>
      <c r="L222" s="242">
        <f t="shared" ref="L222:L223" si="380">IF(F222=0,"",L$34)</f>
        <v>53.82</v>
      </c>
      <c r="M222" s="26">
        <v>5.1999999999999998E-2</v>
      </c>
      <c r="N222" s="26">
        <f t="shared" si="376"/>
        <v>0.27999399999999997</v>
      </c>
      <c r="O222" s="241">
        <f t="shared" si="377"/>
        <v>15.069277079999997</v>
      </c>
      <c r="P222" s="243">
        <f t="shared" si="378"/>
        <v>4.0586400000000005</v>
      </c>
      <c r="Q222" s="241">
        <f t="shared" si="379"/>
        <v>21.853747079999998</v>
      </c>
      <c r="R222" s="121"/>
    </row>
    <row r="223" spans="1:18" x14ac:dyDescent="0.35">
      <c r="A223" s="69" t="str">
        <f>IF(TRIM(G223)&lt;&gt;"",COUNTA(G$11:$G223)&amp;"","")</f>
        <v>184</v>
      </c>
      <c r="B223" s="284"/>
      <c r="C223" s="284"/>
      <c r="D223" s="34"/>
      <c r="E223" s="67" t="s">
        <v>108</v>
      </c>
      <c r="F223" s="71">
        <f>F217*4</f>
        <v>39.159999999999997</v>
      </c>
      <c r="G223" s="63" t="s">
        <v>83</v>
      </c>
      <c r="H223" s="22">
        <v>0.1</v>
      </c>
      <c r="I223" s="49">
        <f t="shared" si="373"/>
        <v>43.075999999999993</v>
      </c>
      <c r="J223" s="240">
        <v>0.2</v>
      </c>
      <c r="K223" s="241">
        <f t="shared" si="374"/>
        <v>8.6151999999999997</v>
      </c>
      <c r="L223" s="242">
        <f t="shared" si="380"/>
        <v>53.82</v>
      </c>
      <c r="M223" s="26">
        <v>1.6E-2</v>
      </c>
      <c r="N223" s="26">
        <f t="shared" si="376"/>
        <v>0.68921599999999994</v>
      </c>
      <c r="O223" s="241">
        <f t="shared" si="377"/>
        <v>37.093605119999999</v>
      </c>
      <c r="P223" s="243">
        <f t="shared" si="378"/>
        <v>1.0611200000000003</v>
      </c>
      <c r="Q223" s="241">
        <f t="shared" si="379"/>
        <v>45.708805120000008</v>
      </c>
      <c r="R223" s="121"/>
    </row>
    <row r="224" spans="1:18" x14ac:dyDescent="0.35">
      <c r="A224" s="69"/>
      <c r="B224" s="284"/>
      <c r="C224" s="284"/>
      <c r="D224" s="34"/>
      <c r="E224" s="67"/>
      <c r="F224" s="71"/>
      <c r="G224" s="72"/>
      <c r="H224" s="22"/>
      <c r="I224" s="49"/>
      <c r="J224" s="23"/>
      <c r="K224" s="24"/>
      <c r="L224" s="25"/>
      <c r="M224" s="26"/>
      <c r="N224" s="26"/>
      <c r="O224" s="24"/>
      <c r="P224" s="27"/>
      <c r="Q224" s="24"/>
      <c r="R224" s="121"/>
    </row>
    <row r="225" spans="1:18" x14ac:dyDescent="0.35">
      <c r="A225" s="69" t="str">
        <f>IF(TRIM(G225)&lt;&gt;"",COUNTA(G$11:$G225)&amp;"","")</f>
        <v>185</v>
      </c>
      <c r="B225" s="284"/>
      <c r="C225" s="284"/>
      <c r="D225" s="34"/>
      <c r="E225" s="233" t="s">
        <v>179</v>
      </c>
      <c r="F225" s="234">
        <v>12.42</v>
      </c>
      <c r="G225" s="238" t="s">
        <v>83</v>
      </c>
      <c r="H225" s="22"/>
      <c r="I225" s="49"/>
      <c r="J225" s="23"/>
      <c r="K225" s="24"/>
      <c r="L225" s="25"/>
      <c r="M225" s="26"/>
      <c r="N225" s="26"/>
      <c r="O225" s="24"/>
      <c r="P225" s="27"/>
      <c r="Q225" s="24"/>
      <c r="R225" s="121"/>
    </row>
    <row r="226" spans="1:18" x14ac:dyDescent="0.35">
      <c r="A226" s="69" t="str">
        <f>IF(TRIM(G226)&lt;&gt;"",COUNTA(G$11:$G226)&amp;"","")</f>
        <v>186</v>
      </c>
      <c r="B226" s="284"/>
      <c r="C226" s="284"/>
      <c r="D226" s="34"/>
      <c r="E226" s="67" t="s">
        <v>122</v>
      </c>
      <c r="F226" s="71">
        <f>F225/1.33+1</f>
        <v>10.338345864661653</v>
      </c>
      <c r="G226" s="63" t="s">
        <v>102</v>
      </c>
      <c r="H226" s="22">
        <v>0</v>
      </c>
      <c r="I226" s="49">
        <f t="shared" ref="I226:I227" si="381">IF(F226=0,"",F226+(F226*H226))</f>
        <v>10.338345864661653</v>
      </c>
      <c r="J226" s="240">
        <f>1.26*14.5</f>
        <v>18.27</v>
      </c>
      <c r="K226" s="241">
        <f t="shared" ref="K226:K227" si="382">IF(F226=0,"",J226*I226)</f>
        <v>188.88157894736838</v>
      </c>
      <c r="L226" s="242">
        <f t="shared" ref="L226:L227" si="383">IF(F226=0,"",L$34)</f>
        <v>53.82</v>
      </c>
      <c r="M226" s="26">
        <f>0.052*14.5</f>
        <v>0.754</v>
      </c>
      <c r="N226" s="26">
        <f t="shared" ref="N226:N227" si="384">IF(F226=0,"",M226*I226)</f>
        <v>7.7951127819548862</v>
      </c>
      <c r="O226" s="241">
        <f t="shared" ref="O226:O227" si="385">IF(F226=0,"",N226*L226)</f>
        <v>419.53296992481199</v>
      </c>
      <c r="P226" s="243">
        <f t="shared" ref="P226:P227" si="386">IF(F226=0,"",(K226+O226)/I226)</f>
        <v>58.850279999999998</v>
      </c>
      <c r="Q226" s="241">
        <f t="shared" ref="Q226:Q227" si="387">IF(F226=0,"",(P226*I226))</f>
        <v>608.41454887218038</v>
      </c>
      <c r="R226" s="121"/>
    </row>
    <row r="227" spans="1:18" x14ac:dyDescent="0.35">
      <c r="A227" s="69" t="str">
        <f>IF(TRIM(G227)&lt;&gt;"",COUNTA(G$11:$G227)&amp;"","")</f>
        <v>187</v>
      </c>
      <c r="B227" s="284"/>
      <c r="C227" s="284"/>
      <c r="D227" s="34"/>
      <c r="E227" s="228" t="s">
        <v>123</v>
      </c>
      <c r="F227" s="71">
        <f>F225</f>
        <v>12.42</v>
      </c>
      <c r="G227" s="63" t="s">
        <v>83</v>
      </c>
      <c r="H227" s="22">
        <v>0.1</v>
      </c>
      <c r="I227" s="49">
        <f t="shared" si="381"/>
        <v>13.661999999999999</v>
      </c>
      <c r="J227" s="240">
        <v>1.26</v>
      </c>
      <c r="K227" s="241">
        <f t="shared" si="382"/>
        <v>17.214119999999998</v>
      </c>
      <c r="L227" s="242">
        <f t="shared" si="383"/>
        <v>53.82</v>
      </c>
      <c r="M227" s="26">
        <v>5.1999999999999998E-2</v>
      </c>
      <c r="N227" s="26">
        <f t="shared" si="384"/>
        <v>0.71042399999999994</v>
      </c>
      <c r="O227" s="241">
        <f t="shared" si="385"/>
        <v>38.235019680000001</v>
      </c>
      <c r="P227" s="243">
        <f t="shared" si="386"/>
        <v>4.0586400000000005</v>
      </c>
      <c r="Q227" s="241">
        <f t="shared" si="387"/>
        <v>55.449139680000002</v>
      </c>
      <c r="R227" s="121"/>
    </row>
    <row r="228" spans="1:18" x14ac:dyDescent="0.35">
      <c r="A228" s="69" t="str">
        <f>IF(TRIM(G228)&lt;&gt;"",COUNTA(G$11:$G228)&amp;"","")</f>
        <v>188</v>
      </c>
      <c r="B228" s="284"/>
      <c r="C228" s="284"/>
      <c r="D228" s="34"/>
      <c r="E228" s="228" t="s">
        <v>124</v>
      </c>
      <c r="F228" s="71">
        <f>F225</f>
        <v>12.42</v>
      </c>
      <c r="G228" s="63" t="s">
        <v>83</v>
      </c>
      <c r="H228" s="22">
        <v>0.1</v>
      </c>
      <c r="I228" s="49">
        <f t="shared" ref="I228:I231" si="388">IF(F228=0,"",F228+(F228*H228))</f>
        <v>13.661999999999999</v>
      </c>
      <c r="J228" s="240">
        <v>1.26</v>
      </c>
      <c r="K228" s="241">
        <f t="shared" ref="K228:K231" si="389">IF(F228=0,"",J228*I228)</f>
        <v>17.214119999999998</v>
      </c>
      <c r="L228" s="242">
        <f t="shared" ref="L228:L229" si="390">IF(F228=0,"",L$34)</f>
        <v>53.82</v>
      </c>
      <c r="M228" s="26">
        <v>5.1999999999999998E-2</v>
      </c>
      <c r="N228" s="26">
        <f t="shared" ref="N228:N231" si="391">IF(F228=0,"",M228*I228)</f>
        <v>0.71042399999999994</v>
      </c>
      <c r="O228" s="241">
        <f t="shared" ref="O228:O231" si="392">IF(F228=0,"",N228*L228)</f>
        <v>38.235019680000001</v>
      </c>
      <c r="P228" s="243">
        <f t="shared" ref="P228:P231" si="393">IF(F228=0,"",(K228+O228)/I228)</f>
        <v>4.0586400000000005</v>
      </c>
      <c r="Q228" s="241">
        <f t="shared" ref="Q228:Q231" si="394">IF(F228=0,"",(P228*I228))</f>
        <v>55.449139680000002</v>
      </c>
      <c r="R228" s="121"/>
    </row>
    <row r="229" spans="1:18" x14ac:dyDescent="0.35">
      <c r="A229" s="69" t="str">
        <f>IF(TRIM(G229)&lt;&gt;"",COUNTA(G$11:$G229)&amp;"","")</f>
        <v>189</v>
      </c>
      <c r="B229" s="284"/>
      <c r="C229" s="284"/>
      <c r="D229" s="34"/>
      <c r="E229" s="228" t="s">
        <v>125</v>
      </c>
      <c r="F229" s="71">
        <f>(F225*14.5)+(F225*8.5)</f>
        <v>285.65999999999997</v>
      </c>
      <c r="G229" s="63" t="s">
        <v>69</v>
      </c>
      <c r="H229" s="22">
        <v>0.1</v>
      </c>
      <c r="I229" s="49">
        <f t="shared" si="388"/>
        <v>314.22599999999994</v>
      </c>
      <c r="J229" s="240">
        <v>0.62</v>
      </c>
      <c r="K229" s="241">
        <f t="shared" si="389"/>
        <v>194.82011999999997</v>
      </c>
      <c r="L229" s="242">
        <f t="shared" si="390"/>
        <v>53.82</v>
      </c>
      <c r="M229" s="26">
        <v>1.6E-2</v>
      </c>
      <c r="N229" s="26">
        <f t="shared" si="391"/>
        <v>5.0276159999999992</v>
      </c>
      <c r="O229" s="241">
        <f t="shared" si="392"/>
        <v>270.58629311999994</v>
      </c>
      <c r="P229" s="243">
        <f t="shared" si="393"/>
        <v>1.48112</v>
      </c>
      <c r="Q229" s="241">
        <f t="shared" si="394"/>
        <v>465.40641311999991</v>
      </c>
      <c r="R229" s="121"/>
    </row>
    <row r="230" spans="1:18" x14ac:dyDescent="0.35">
      <c r="A230" s="69"/>
      <c r="B230" s="284"/>
      <c r="C230" s="284"/>
      <c r="D230" s="34"/>
      <c r="E230" s="228" t="s">
        <v>155</v>
      </c>
      <c r="F230" s="71">
        <f>F225*14.5</f>
        <v>180.09</v>
      </c>
      <c r="G230" s="63" t="s">
        <v>69</v>
      </c>
      <c r="H230" s="22">
        <v>0.1</v>
      </c>
      <c r="I230" s="49">
        <f t="shared" si="388"/>
        <v>198.09899999999999</v>
      </c>
      <c r="J230" s="240">
        <v>0.49</v>
      </c>
      <c r="K230" s="241">
        <f t="shared" si="389"/>
        <v>97.068509999999989</v>
      </c>
      <c r="L230" s="242">
        <f t="shared" ref="L230:L231" si="395">IF(F230=0,"",L$34)</f>
        <v>53.82</v>
      </c>
      <c r="M230" s="26">
        <v>0.01</v>
      </c>
      <c r="N230" s="26">
        <f t="shared" si="391"/>
        <v>1.98099</v>
      </c>
      <c r="O230" s="241">
        <f t="shared" si="392"/>
        <v>106.6168818</v>
      </c>
      <c r="P230" s="243">
        <f t="shared" si="393"/>
        <v>1.0282</v>
      </c>
      <c r="Q230" s="241">
        <f t="shared" si="394"/>
        <v>203.68539179999999</v>
      </c>
      <c r="R230" s="121"/>
    </row>
    <row r="231" spans="1:18" x14ac:dyDescent="0.35">
      <c r="A231" s="69" t="str">
        <f>IF(TRIM(G231)&lt;&gt;"",COUNTA(G$11:$G231)&amp;"","")</f>
        <v>191</v>
      </c>
      <c r="B231" s="284"/>
      <c r="C231" s="284"/>
      <c r="D231" s="34"/>
      <c r="E231" s="67" t="s">
        <v>108</v>
      </c>
      <c r="F231" s="71">
        <f>F225*4</f>
        <v>49.68</v>
      </c>
      <c r="G231" s="63" t="s">
        <v>83</v>
      </c>
      <c r="H231" s="22">
        <v>0.1</v>
      </c>
      <c r="I231" s="49">
        <f t="shared" si="388"/>
        <v>54.647999999999996</v>
      </c>
      <c r="J231" s="240">
        <v>0.2</v>
      </c>
      <c r="K231" s="241">
        <f t="shared" si="389"/>
        <v>10.929600000000001</v>
      </c>
      <c r="L231" s="242">
        <f t="shared" si="395"/>
        <v>53.82</v>
      </c>
      <c r="M231" s="26">
        <v>1.6E-2</v>
      </c>
      <c r="N231" s="26">
        <f t="shared" si="391"/>
        <v>0.87436799999999992</v>
      </c>
      <c r="O231" s="241">
        <f t="shared" si="392"/>
        <v>47.058485759999996</v>
      </c>
      <c r="P231" s="243">
        <f t="shared" si="393"/>
        <v>1.0611200000000001</v>
      </c>
      <c r="Q231" s="241">
        <f t="shared" si="394"/>
        <v>57.988085759999997</v>
      </c>
      <c r="R231" s="121"/>
    </row>
    <row r="232" spans="1:18" x14ac:dyDescent="0.35">
      <c r="A232" s="69"/>
      <c r="B232" s="284"/>
      <c r="C232" s="284"/>
      <c r="D232" s="34"/>
      <c r="E232" s="67"/>
      <c r="F232" s="71"/>
      <c r="G232" s="72"/>
      <c r="H232" s="22"/>
      <c r="I232" s="49"/>
      <c r="J232" s="23"/>
      <c r="K232" s="24"/>
      <c r="L232" s="25"/>
      <c r="M232" s="26"/>
      <c r="N232" s="26"/>
      <c r="O232" s="24"/>
      <c r="P232" s="27"/>
      <c r="Q232" s="24"/>
      <c r="R232" s="121"/>
    </row>
    <row r="233" spans="1:18" x14ac:dyDescent="0.35">
      <c r="A233" s="69" t="str">
        <f>IF(TRIM(G233)&lt;&gt;"",COUNTA(G$11:$G233)&amp;"","")</f>
        <v>192</v>
      </c>
      <c r="B233" s="284"/>
      <c r="C233" s="284"/>
      <c r="D233" s="34"/>
      <c r="E233" s="233" t="s">
        <v>181</v>
      </c>
      <c r="F233" s="234">
        <v>13.97</v>
      </c>
      <c r="G233" s="238" t="s">
        <v>83</v>
      </c>
      <c r="H233" s="22"/>
      <c r="I233" s="49"/>
      <c r="J233" s="23"/>
      <c r="K233" s="24"/>
      <c r="L233" s="25"/>
      <c r="M233" s="26"/>
      <c r="N233" s="26"/>
      <c r="O233" s="24"/>
      <c r="P233" s="27"/>
      <c r="Q233" s="24"/>
      <c r="R233" s="121"/>
    </row>
    <row r="234" spans="1:18" x14ac:dyDescent="0.35">
      <c r="A234" s="69" t="str">
        <f>IF(TRIM(G234)&lt;&gt;"",COUNTA(G$11:$G234)&amp;"","")</f>
        <v>193</v>
      </c>
      <c r="B234" s="284"/>
      <c r="C234" s="284"/>
      <c r="D234" s="34"/>
      <c r="E234" s="67" t="s">
        <v>122</v>
      </c>
      <c r="F234" s="71">
        <f>F233/1.33+1</f>
        <v>11.503759398496241</v>
      </c>
      <c r="G234" s="63" t="s">
        <v>102</v>
      </c>
      <c r="H234" s="22">
        <v>0</v>
      </c>
      <c r="I234" s="49">
        <f t="shared" ref="I234:I235" si="396">IF(F234=0,"",F234+(F234*H234))</f>
        <v>11.503759398496241</v>
      </c>
      <c r="J234" s="240">
        <f>1.26*14.5</f>
        <v>18.27</v>
      </c>
      <c r="K234" s="241">
        <f t="shared" ref="K234:K235" si="397">IF(F234=0,"",J234*I234)</f>
        <v>210.17368421052632</v>
      </c>
      <c r="L234" s="242">
        <f t="shared" ref="L234:L235" si="398">IF(F234=0,"",L$34)</f>
        <v>53.82</v>
      </c>
      <c r="M234" s="26">
        <f>0.052*14.5</f>
        <v>0.754</v>
      </c>
      <c r="N234" s="26">
        <f t="shared" ref="N234:N235" si="399">IF(F234=0,"",M234*I234)</f>
        <v>8.6738345864661657</v>
      </c>
      <c r="O234" s="241">
        <f t="shared" ref="O234:O235" si="400">IF(F234=0,"",N234*L234)</f>
        <v>466.82577744360901</v>
      </c>
      <c r="P234" s="243">
        <f t="shared" ref="P234:P235" si="401">IF(F234=0,"",(K234+O234)/I234)</f>
        <v>58.850279999999998</v>
      </c>
      <c r="Q234" s="241">
        <f t="shared" ref="Q234:Q235" si="402">IF(F234=0,"",(P234*I234))</f>
        <v>676.9994616541353</v>
      </c>
      <c r="R234" s="121"/>
    </row>
    <row r="235" spans="1:18" x14ac:dyDescent="0.35">
      <c r="A235" s="69" t="str">
        <f>IF(TRIM(G235)&lt;&gt;"",COUNTA(G$11:$G235)&amp;"","")</f>
        <v>194</v>
      </c>
      <c r="B235" s="284"/>
      <c r="C235" s="284"/>
      <c r="D235" s="34"/>
      <c r="E235" s="228" t="s">
        <v>123</v>
      </c>
      <c r="F235" s="71">
        <f>F233</f>
        <v>13.97</v>
      </c>
      <c r="G235" s="63" t="s">
        <v>83</v>
      </c>
      <c r="H235" s="22">
        <v>0.1</v>
      </c>
      <c r="I235" s="49">
        <f t="shared" si="396"/>
        <v>15.367000000000001</v>
      </c>
      <c r="J235" s="240">
        <v>1.26</v>
      </c>
      <c r="K235" s="241">
        <f t="shared" si="397"/>
        <v>19.36242</v>
      </c>
      <c r="L235" s="242">
        <f t="shared" si="398"/>
        <v>53.82</v>
      </c>
      <c r="M235" s="26">
        <v>5.1999999999999998E-2</v>
      </c>
      <c r="N235" s="26">
        <f t="shared" si="399"/>
        <v>0.79908400000000002</v>
      </c>
      <c r="O235" s="241">
        <f t="shared" si="400"/>
        <v>43.006700880000004</v>
      </c>
      <c r="P235" s="243">
        <f t="shared" si="401"/>
        <v>4.0586400000000005</v>
      </c>
      <c r="Q235" s="241">
        <f t="shared" si="402"/>
        <v>62.369120880000011</v>
      </c>
      <c r="R235" s="121"/>
    </row>
    <row r="236" spans="1:18" x14ac:dyDescent="0.35">
      <c r="A236" s="69" t="str">
        <f>IF(TRIM(G236)&lt;&gt;"",COUNTA(G$11:$G236)&amp;"","")</f>
        <v>195</v>
      </c>
      <c r="B236" s="284"/>
      <c r="C236" s="284"/>
      <c r="D236" s="34"/>
      <c r="E236" s="228" t="s">
        <v>124</v>
      </c>
      <c r="F236" s="71">
        <f>F233</f>
        <v>13.97</v>
      </c>
      <c r="G236" s="63" t="s">
        <v>83</v>
      </c>
      <c r="H236" s="22">
        <v>0.1</v>
      </c>
      <c r="I236" s="49">
        <f t="shared" ref="I236:I239" si="403">IF(F236=0,"",F236+(F236*H236))</f>
        <v>15.367000000000001</v>
      </c>
      <c r="J236" s="240">
        <v>1.26</v>
      </c>
      <c r="K236" s="241">
        <f t="shared" ref="K236:K239" si="404">IF(F236=0,"",J236*I236)</f>
        <v>19.36242</v>
      </c>
      <c r="L236" s="242">
        <f t="shared" ref="L236:L237" si="405">IF(F236=0,"",L$34)</f>
        <v>53.82</v>
      </c>
      <c r="M236" s="26">
        <v>5.1999999999999998E-2</v>
      </c>
      <c r="N236" s="26">
        <f t="shared" ref="N236:N239" si="406">IF(F236=0,"",M236*I236)</f>
        <v>0.79908400000000002</v>
      </c>
      <c r="O236" s="241">
        <f t="shared" ref="O236:O239" si="407">IF(F236=0,"",N236*L236)</f>
        <v>43.006700880000004</v>
      </c>
      <c r="P236" s="243">
        <f t="shared" ref="P236:P239" si="408">IF(F236=0,"",(K236+O236)/I236)</f>
        <v>4.0586400000000005</v>
      </c>
      <c r="Q236" s="241">
        <f t="shared" ref="Q236:Q239" si="409">IF(F236=0,"",(P236*I236))</f>
        <v>62.369120880000011</v>
      </c>
      <c r="R236" s="121"/>
    </row>
    <row r="237" spans="1:18" x14ac:dyDescent="0.35">
      <c r="A237" s="69" t="str">
        <f>IF(TRIM(G237)&lt;&gt;"",COUNTA(G$11:$G237)&amp;"","")</f>
        <v>196</v>
      </c>
      <c r="B237" s="284"/>
      <c r="C237" s="284"/>
      <c r="D237" s="34"/>
      <c r="E237" s="228" t="s">
        <v>125</v>
      </c>
      <c r="F237" s="71">
        <f>(F233*14.5)+(F233*8)</f>
        <v>314.32499999999999</v>
      </c>
      <c r="G237" s="63" t="s">
        <v>69</v>
      </c>
      <c r="H237" s="22">
        <v>0.1</v>
      </c>
      <c r="I237" s="49">
        <f t="shared" si="403"/>
        <v>345.75749999999999</v>
      </c>
      <c r="J237" s="240">
        <v>0.62</v>
      </c>
      <c r="K237" s="241">
        <f t="shared" si="404"/>
        <v>214.36965000000001</v>
      </c>
      <c r="L237" s="242">
        <f t="shared" si="405"/>
        <v>53.82</v>
      </c>
      <c r="M237" s="26">
        <v>1.6E-2</v>
      </c>
      <c r="N237" s="26">
        <f t="shared" si="406"/>
        <v>5.5321199999999999</v>
      </c>
      <c r="O237" s="241">
        <f t="shared" si="407"/>
        <v>297.73869839999998</v>
      </c>
      <c r="P237" s="243">
        <f t="shared" si="408"/>
        <v>1.48112</v>
      </c>
      <c r="Q237" s="241">
        <f t="shared" si="409"/>
        <v>512.10834839999995</v>
      </c>
      <c r="R237" s="121"/>
    </row>
    <row r="238" spans="1:18" x14ac:dyDescent="0.35">
      <c r="A238" s="69"/>
      <c r="B238" s="284"/>
      <c r="C238" s="284"/>
      <c r="D238" s="34"/>
      <c r="E238" s="228" t="s">
        <v>155</v>
      </c>
      <c r="F238" s="71">
        <f>F233*14.5</f>
        <v>202.565</v>
      </c>
      <c r="G238" s="63" t="s">
        <v>69</v>
      </c>
      <c r="H238" s="22">
        <v>0.1</v>
      </c>
      <c r="I238" s="49">
        <f t="shared" si="403"/>
        <v>222.82150000000001</v>
      </c>
      <c r="J238" s="240">
        <v>0.49</v>
      </c>
      <c r="K238" s="241">
        <f t="shared" si="404"/>
        <v>109.182535</v>
      </c>
      <c r="L238" s="242">
        <f t="shared" ref="L238:L239" si="410">IF(F238=0,"",L$34)</f>
        <v>53.82</v>
      </c>
      <c r="M238" s="26">
        <v>0.01</v>
      </c>
      <c r="N238" s="26">
        <f t="shared" si="406"/>
        <v>2.2282150000000001</v>
      </c>
      <c r="O238" s="241">
        <f t="shared" si="407"/>
        <v>119.9225313</v>
      </c>
      <c r="P238" s="243">
        <f t="shared" si="408"/>
        <v>1.0282</v>
      </c>
      <c r="Q238" s="241">
        <f t="shared" si="409"/>
        <v>229.1050663</v>
      </c>
      <c r="R238" s="121"/>
    </row>
    <row r="239" spans="1:18" x14ac:dyDescent="0.35">
      <c r="A239" s="69" t="str">
        <f>IF(TRIM(G239)&lt;&gt;"",COUNTA(G$11:$G239)&amp;"","")</f>
        <v>198</v>
      </c>
      <c r="B239" s="284"/>
      <c r="C239" s="284"/>
      <c r="D239" s="34"/>
      <c r="E239" s="67" t="s">
        <v>108</v>
      </c>
      <c r="F239" s="71">
        <f>F233*4</f>
        <v>55.88</v>
      </c>
      <c r="G239" s="63" t="s">
        <v>83</v>
      </c>
      <c r="H239" s="22">
        <v>0.1</v>
      </c>
      <c r="I239" s="49">
        <f t="shared" si="403"/>
        <v>61.468000000000004</v>
      </c>
      <c r="J239" s="240">
        <v>0.2</v>
      </c>
      <c r="K239" s="241">
        <f t="shared" si="404"/>
        <v>12.293600000000001</v>
      </c>
      <c r="L239" s="242">
        <f t="shared" si="410"/>
        <v>53.82</v>
      </c>
      <c r="M239" s="26">
        <v>1.6E-2</v>
      </c>
      <c r="N239" s="26">
        <f t="shared" si="406"/>
        <v>0.98348800000000003</v>
      </c>
      <c r="O239" s="241">
        <f t="shared" si="407"/>
        <v>52.931324160000003</v>
      </c>
      <c r="P239" s="243">
        <f t="shared" si="408"/>
        <v>1.0611199999999998</v>
      </c>
      <c r="Q239" s="241">
        <f t="shared" si="409"/>
        <v>65.22492416</v>
      </c>
      <c r="R239" s="121"/>
    </row>
    <row r="240" spans="1:18" x14ac:dyDescent="0.35">
      <c r="A240" s="69"/>
      <c r="B240" s="284"/>
      <c r="C240" s="284"/>
      <c r="D240" s="34"/>
      <c r="E240" s="67"/>
      <c r="F240" s="71"/>
      <c r="G240" s="72"/>
      <c r="H240" s="22"/>
      <c r="I240" s="49"/>
      <c r="J240" s="23"/>
      <c r="K240" s="24"/>
      <c r="L240" s="25"/>
      <c r="M240" s="26"/>
      <c r="N240" s="26"/>
      <c r="O240" s="24"/>
      <c r="P240" s="27"/>
      <c r="Q240" s="24"/>
      <c r="R240" s="121"/>
    </row>
    <row r="241" spans="1:18" x14ac:dyDescent="0.35">
      <c r="A241" s="69" t="str">
        <f>IF(TRIM(G241)&lt;&gt;"",COUNTA(G$11:$G241)&amp;"","")</f>
        <v>199</v>
      </c>
      <c r="B241" s="284"/>
      <c r="C241" s="284"/>
      <c r="D241" s="34"/>
      <c r="E241" s="233" t="s">
        <v>183</v>
      </c>
      <c r="F241" s="234">
        <v>8.9600000000000009</v>
      </c>
      <c r="G241" s="238" t="s">
        <v>83</v>
      </c>
      <c r="H241" s="22"/>
      <c r="I241" s="49"/>
      <c r="J241" s="23"/>
      <c r="K241" s="24"/>
      <c r="L241" s="25"/>
      <c r="M241" s="26"/>
      <c r="N241" s="26"/>
      <c r="O241" s="24"/>
      <c r="P241" s="27"/>
      <c r="Q241" s="24"/>
      <c r="R241" s="121"/>
    </row>
    <row r="242" spans="1:18" x14ac:dyDescent="0.35">
      <c r="A242" s="69" t="str">
        <f>IF(TRIM(G242)&lt;&gt;"",COUNTA(G$11:$G242)&amp;"","")</f>
        <v>200</v>
      </c>
      <c r="B242" s="284"/>
      <c r="C242" s="284"/>
      <c r="D242" s="34"/>
      <c r="E242" s="67" t="s">
        <v>122</v>
      </c>
      <c r="F242" s="71">
        <f>F241/1.33+1</f>
        <v>7.7368421052631584</v>
      </c>
      <c r="G242" s="63" t="s">
        <v>102</v>
      </c>
      <c r="H242" s="22">
        <v>0</v>
      </c>
      <c r="I242" s="49">
        <f t="shared" ref="I242:I243" si="411">IF(F242=0,"",F242+(F242*H242))</f>
        <v>7.7368421052631584</v>
      </c>
      <c r="J242" s="240">
        <f>1.26*14.5</f>
        <v>18.27</v>
      </c>
      <c r="K242" s="241">
        <f t="shared" ref="K242:K243" si="412">IF(F242=0,"",J242*I242)</f>
        <v>141.35210526315791</v>
      </c>
      <c r="L242" s="242">
        <f t="shared" ref="L242:L243" si="413">IF(F242=0,"",L$34)</f>
        <v>53.82</v>
      </c>
      <c r="M242" s="26">
        <f>0.052*14.5</f>
        <v>0.754</v>
      </c>
      <c r="N242" s="26">
        <f t="shared" ref="N242:N243" si="414">IF(F242=0,"",M242*I242)</f>
        <v>5.8335789473684212</v>
      </c>
      <c r="O242" s="241">
        <f t="shared" ref="O242:O243" si="415">IF(F242=0,"",N242*L242)</f>
        <v>313.96321894736843</v>
      </c>
      <c r="P242" s="243">
        <f t="shared" ref="P242:P243" si="416">IF(F242=0,"",(K242+O242)/I242)</f>
        <v>58.850279999999998</v>
      </c>
      <c r="Q242" s="241">
        <f t="shared" ref="Q242:Q243" si="417">IF(F242=0,"",(P242*I242))</f>
        <v>455.31532421052634</v>
      </c>
      <c r="R242" s="121"/>
    </row>
    <row r="243" spans="1:18" x14ac:dyDescent="0.35">
      <c r="A243" s="69" t="str">
        <f>IF(TRIM(G243)&lt;&gt;"",COUNTA(G$11:$G243)&amp;"","")</f>
        <v>201</v>
      </c>
      <c r="B243" s="284"/>
      <c r="C243" s="284"/>
      <c r="D243" s="34"/>
      <c r="E243" s="228" t="s">
        <v>123</v>
      </c>
      <c r="F243" s="71">
        <f>F241</f>
        <v>8.9600000000000009</v>
      </c>
      <c r="G243" s="63" t="s">
        <v>83</v>
      </c>
      <c r="H243" s="22">
        <v>0.1</v>
      </c>
      <c r="I243" s="49">
        <f t="shared" si="411"/>
        <v>9.8560000000000016</v>
      </c>
      <c r="J243" s="240">
        <v>1.26</v>
      </c>
      <c r="K243" s="241">
        <f t="shared" si="412"/>
        <v>12.418560000000003</v>
      </c>
      <c r="L243" s="242">
        <f t="shared" si="413"/>
        <v>53.82</v>
      </c>
      <c r="M243" s="26">
        <v>5.1999999999999998E-2</v>
      </c>
      <c r="N243" s="26">
        <f t="shared" si="414"/>
        <v>0.51251200000000008</v>
      </c>
      <c r="O243" s="241">
        <f t="shared" si="415"/>
        <v>27.583395840000005</v>
      </c>
      <c r="P243" s="243">
        <f t="shared" si="416"/>
        <v>4.0586400000000005</v>
      </c>
      <c r="Q243" s="241">
        <f t="shared" si="417"/>
        <v>40.001955840000008</v>
      </c>
      <c r="R243" s="121"/>
    </row>
    <row r="244" spans="1:18" x14ac:dyDescent="0.35">
      <c r="A244" s="69" t="str">
        <f>IF(TRIM(G244)&lt;&gt;"",COUNTA(G$11:$G244)&amp;"","")</f>
        <v>202</v>
      </c>
      <c r="B244" s="284"/>
      <c r="C244" s="284"/>
      <c r="D244" s="34"/>
      <c r="E244" s="228" t="s">
        <v>124</v>
      </c>
      <c r="F244" s="71">
        <f>F241</f>
        <v>8.9600000000000009</v>
      </c>
      <c r="G244" s="63" t="s">
        <v>83</v>
      </c>
      <c r="H244" s="22">
        <v>0.1</v>
      </c>
      <c r="I244" s="49">
        <f t="shared" ref="I244:I246" si="418">IF(F244=0,"",F244+(F244*H244))</f>
        <v>9.8560000000000016</v>
      </c>
      <c r="J244" s="240">
        <v>1.26</v>
      </c>
      <c r="K244" s="241">
        <f t="shared" ref="K244:K246" si="419">IF(F244=0,"",J244*I244)</f>
        <v>12.418560000000003</v>
      </c>
      <c r="L244" s="242">
        <f t="shared" ref="L244:L246" si="420">IF(F244=0,"",L$34)</f>
        <v>53.82</v>
      </c>
      <c r="M244" s="26">
        <v>5.1999999999999998E-2</v>
      </c>
      <c r="N244" s="26">
        <f t="shared" ref="N244:N246" si="421">IF(F244=0,"",M244*I244)</f>
        <v>0.51251200000000008</v>
      </c>
      <c r="O244" s="241">
        <f t="shared" ref="O244:O246" si="422">IF(F244=0,"",N244*L244)</f>
        <v>27.583395840000005</v>
      </c>
      <c r="P244" s="243">
        <f t="shared" ref="P244:P246" si="423">IF(F244=0,"",(K244+O244)/I244)</f>
        <v>4.0586400000000005</v>
      </c>
      <c r="Q244" s="241">
        <f t="shared" ref="Q244:Q246" si="424">IF(F244=0,"",(P244*I244))</f>
        <v>40.001955840000008</v>
      </c>
      <c r="R244" s="121"/>
    </row>
    <row r="245" spans="1:18" x14ac:dyDescent="0.35">
      <c r="A245" s="69" t="str">
        <f>IF(TRIM(G245)&lt;&gt;"",COUNTA(G$11:$G245)&amp;"","")</f>
        <v>203</v>
      </c>
      <c r="B245" s="284"/>
      <c r="C245" s="284"/>
      <c r="D245" s="34"/>
      <c r="E245" s="228" t="s">
        <v>125</v>
      </c>
      <c r="F245" s="71">
        <f>F241*8*2</f>
        <v>143.36000000000001</v>
      </c>
      <c r="G245" s="63" t="s">
        <v>69</v>
      </c>
      <c r="H245" s="22">
        <v>0.1</v>
      </c>
      <c r="I245" s="49">
        <f t="shared" si="418"/>
        <v>157.69600000000003</v>
      </c>
      <c r="J245" s="240">
        <v>0.62</v>
      </c>
      <c r="K245" s="241">
        <f t="shared" si="419"/>
        <v>97.77152000000001</v>
      </c>
      <c r="L245" s="242">
        <f t="shared" si="420"/>
        <v>53.82</v>
      </c>
      <c r="M245" s="26">
        <v>1.6E-2</v>
      </c>
      <c r="N245" s="26">
        <f t="shared" si="421"/>
        <v>2.5231360000000005</v>
      </c>
      <c r="O245" s="241">
        <f t="shared" si="422"/>
        <v>135.79517952000003</v>
      </c>
      <c r="P245" s="243">
        <f t="shared" si="423"/>
        <v>1.48112</v>
      </c>
      <c r="Q245" s="241">
        <f t="shared" si="424"/>
        <v>233.56669952000004</v>
      </c>
      <c r="R245" s="121"/>
    </row>
    <row r="246" spans="1:18" x14ac:dyDescent="0.35">
      <c r="A246" s="69" t="str">
        <f>IF(TRIM(G246)&lt;&gt;"",COUNTA(G$11:$G246)&amp;"","")</f>
        <v>204</v>
      </c>
      <c r="B246" s="284"/>
      <c r="C246" s="284"/>
      <c r="D246" s="34"/>
      <c r="E246" s="67" t="s">
        <v>108</v>
      </c>
      <c r="F246" s="71">
        <f>F241*4</f>
        <v>35.840000000000003</v>
      </c>
      <c r="G246" s="63" t="s">
        <v>83</v>
      </c>
      <c r="H246" s="22">
        <v>0.1</v>
      </c>
      <c r="I246" s="49">
        <f t="shared" si="418"/>
        <v>39.424000000000007</v>
      </c>
      <c r="J246" s="240">
        <v>0.2</v>
      </c>
      <c r="K246" s="241">
        <f t="shared" si="419"/>
        <v>7.884800000000002</v>
      </c>
      <c r="L246" s="242">
        <f t="shared" si="420"/>
        <v>53.82</v>
      </c>
      <c r="M246" s="26">
        <v>1.6E-2</v>
      </c>
      <c r="N246" s="26">
        <f t="shared" si="421"/>
        <v>0.63078400000000012</v>
      </c>
      <c r="O246" s="241">
        <f t="shared" si="422"/>
        <v>33.948794880000008</v>
      </c>
      <c r="P246" s="243">
        <f t="shared" si="423"/>
        <v>1.0611200000000001</v>
      </c>
      <c r="Q246" s="241">
        <f t="shared" si="424"/>
        <v>41.833594880000007</v>
      </c>
      <c r="R246" s="121"/>
    </row>
    <row r="247" spans="1:18" x14ac:dyDescent="0.35">
      <c r="A247" s="69" t="str">
        <f>IF(TRIM(G247)&lt;&gt;"",COUNTA(G$11:$G310)&amp;"","")</f>
        <v/>
      </c>
      <c r="B247" s="284"/>
      <c r="C247" s="284"/>
      <c r="D247" s="34"/>
      <c r="E247" s="67"/>
      <c r="F247" s="71"/>
      <c r="G247" s="72"/>
      <c r="H247" s="22"/>
      <c r="I247" s="49"/>
      <c r="J247" s="23"/>
      <c r="K247" s="24"/>
      <c r="L247" s="25"/>
      <c r="M247" s="26"/>
      <c r="N247" s="26"/>
      <c r="O247" s="24"/>
      <c r="P247" s="27"/>
      <c r="Q247" s="24"/>
      <c r="R247" s="121"/>
    </row>
    <row r="248" spans="1:18" ht="19.5" customHeight="1" x14ac:dyDescent="0.35">
      <c r="A248" s="69" t="str">
        <f>IF(TRIM(G248)&lt;&gt;"",COUNTA(G$11:$G248)&amp;"","")</f>
        <v>205</v>
      </c>
      <c r="B248" s="284"/>
      <c r="C248" s="284"/>
      <c r="D248" s="34"/>
      <c r="E248" s="237" t="s">
        <v>136</v>
      </c>
      <c r="F248" s="234">
        <v>10.79</v>
      </c>
      <c r="G248" s="238" t="s">
        <v>83</v>
      </c>
      <c r="H248" s="22"/>
      <c r="I248" s="49"/>
      <c r="J248" s="23"/>
      <c r="K248" s="24"/>
      <c r="L248" s="25"/>
      <c r="M248" s="26"/>
      <c r="N248" s="26"/>
      <c r="O248" s="24"/>
      <c r="P248" s="27"/>
      <c r="Q248" s="24"/>
      <c r="R248" s="121"/>
    </row>
    <row r="249" spans="1:18" x14ac:dyDescent="0.35">
      <c r="A249" s="69" t="str">
        <f>IF(TRIM(G249)&lt;&gt;"",COUNTA(G$11:$G249)&amp;"","")</f>
        <v>206</v>
      </c>
      <c r="B249" s="284"/>
      <c r="C249" s="284"/>
      <c r="D249" s="34"/>
      <c r="E249" s="67" t="s">
        <v>132</v>
      </c>
      <c r="F249" s="71">
        <f>F248/1.33+1</f>
        <v>9.1127819548872164</v>
      </c>
      <c r="G249" s="63" t="s">
        <v>102</v>
      </c>
      <c r="H249" s="22">
        <v>0</v>
      </c>
      <c r="I249" s="49">
        <f t="shared" ref="I249:I250" si="425">IF(F249=0,"",F249+(F249*H249))</f>
        <v>9.1127819548872164</v>
      </c>
      <c r="J249" s="240">
        <f>1.26*22.5</f>
        <v>28.35</v>
      </c>
      <c r="K249" s="241">
        <f t="shared" ref="K249:K250" si="426">IF(F249=0,"",J249*I249)</f>
        <v>258.34736842105258</v>
      </c>
      <c r="L249" s="242">
        <f t="shared" ref="L249:L250" si="427">IF(F249=0,"",L$34)</f>
        <v>53.82</v>
      </c>
      <c r="M249" s="26">
        <f>0.052*22.5</f>
        <v>1.17</v>
      </c>
      <c r="N249" s="26">
        <f t="shared" ref="N249:N250" si="428">IF(F249=0,"",M249*I249)</f>
        <v>10.661954887218043</v>
      </c>
      <c r="O249" s="241">
        <f t="shared" ref="O249:O250" si="429">IF(F249=0,"",N249*L249)</f>
        <v>573.82641203007506</v>
      </c>
      <c r="P249" s="243">
        <f t="shared" ref="P249:P250" si="430">IF(F249=0,"",(K249+O249)/I249)</f>
        <v>91.319400000000002</v>
      </c>
      <c r="Q249" s="241">
        <f t="shared" ref="Q249:Q250" si="431">IF(F249=0,"",(P249*I249))</f>
        <v>832.17378045112764</v>
      </c>
      <c r="R249" s="121"/>
    </row>
    <row r="250" spans="1:18" x14ac:dyDescent="0.35">
      <c r="A250" s="69" t="str">
        <f>IF(TRIM(G250)&lt;&gt;"",COUNTA(G$11:$G250)&amp;"","")</f>
        <v>207</v>
      </c>
      <c r="B250" s="284"/>
      <c r="C250" s="284"/>
      <c r="D250" s="34"/>
      <c r="E250" s="228" t="s">
        <v>123</v>
      </c>
      <c r="F250" s="71">
        <f>F248</f>
        <v>10.79</v>
      </c>
      <c r="G250" s="63" t="s">
        <v>83</v>
      </c>
      <c r="H250" s="22">
        <v>0.1</v>
      </c>
      <c r="I250" s="49">
        <f t="shared" si="425"/>
        <v>11.869</v>
      </c>
      <c r="J250" s="240">
        <v>1.26</v>
      </c>
      <c r="K250" s="241">
        <f t="shared" si="426"/>
        <v>14.954940000000001</v>
      </c>
      <c r="L250" s="242">
        <f t="shared" si="427"/>
        <v>53.82</v>
      </c>
      <c r="M250" s="26">
        <v>5.1999999999999998E-2</v>
      </c>
      <c r="N250" s="26">
        <f t="shared" si="428"/>
        <v>0.61718799999999996</v>
      </c>
      <c r="O250" s="241">
        <f t="shared" si="429"/>
        <v>33.217058160000001</v>
      </c>
      <c r="P250" s="243">
        <f t="shared" si="430"/>
        <v>4.0586400000000005</v>
      </c>
      <c r="Q250" s="241">
        <f t="shared" si="431"/>
        <v>48.171998160000001</v>
      </c>
      <c r="R250" s="121"/>
    </row>
    <row r="251" spans="1:18" x14ac:dyDescent="0.35">
      <c r="A251" s="69" t="str">
        <f>IF(TRIM(G251)&lt;&gt;"",COUNTA(G$11:$G251)&amp;"","")</f>
        <v>208</v>
      </c>
      <c r="B251" s="284"/>
      <c r="C251" s="284"/>
      <c r="D251" s="34"/>
      <c r="E251" s="228" t="s">
        <v>124</v>
      </c>
      <c r="F251" s="71">
        <f>F248</f>
        <v>10.79</v>
      </c>
      <c r="G251" s="63" t="s">
        <v>83</v>
      </c>
      <c r="H251" s="22">
        <v>0.1</v>
      </c>
      <c r="I251" s="49">
        <f t="shared" ref="I251:I259" si="432">IF(F251=0,"",F251+(F251*H251))</f>
        <v>11.869</v>
      </c>
      <c r="J251" s="240">
        <v>1.26</v>
      </c>
      <c r="K251" s="241">
        <f t="shared" ref="K251:K259" si="433">IF(F251=0,"",J251*I251)</f>
        <v>14.954940000000001</v>
      </c>
      <c r="L251" s="242">
        <f t="shared" ref="L251:L259" si="434">IF(F251=0,"",L$34)</f>
        <v>53.82</v>
      </c>
      <c r="M251" s="26">
        <v>5.1999999999999998E-2</v>
      </c>
      <c r="N251" s="26">
        <f t="shared" ref="N251:N259" si="435">IF(F251=0,"",M251*I251)</f>
        <v>0.61718799999999996</v>
      </c>
      <c r="O251" s="241">
        <f t="shared" ref="O251:O259" si="436">IF(F251=0,"",N251*L251)</f>
        <v>33.217058160000001</v>
      </c>
      <c r="P251" s="243">
        <f t="shared" ref="P251:P259" si="437">IF(F251=0,"",(K251+O251)/I251)</f>
        <v>4.0586400000000005</v>
      </c>
      <c r="Q251" s="241">
        <f t="shared" ref="Q251:Q259" si="438">IF(F251=0,"",(P251*I251))</f>
        <v>48.171998160000001</v>
      </c>
      <c r="R251" s="121"/>
    </row>
    <row r="252" spans="1:18" x14ac:dyDescent="0.35">
      <c r="A252" s="69" t="str">
        <f>IF(TRIM(G252)&lt;&gt;"",COUNTA(G$11:$G252)&amp;"","")</f>
        <v>209</v>
      </c>
      <c r="B252" s="284"/>
      <c r="C252" s="284"/>
      <c r="D252" s="34"/>
      <c r="E252" s="228" t="s">
        <v>125</v>
      </c>
      <c r="F252" s="71">
        <f>(F248*14.5)+(F248*22.5)</f>
        <v>399.22999999999996</v>
      </c>
      <c r="G252" s="63" t="s">
        <v>69</v>
      </c>
      <c r="H252" s="22">
        <v>0.1</v>
      </c>
      <c r="I252" s="49">
        <f t="shared" si="432"/>
        <v>439.15299999999996</v>
      </c>
      <c r="J252" s="240">
        <v>0.62</v>
      </c>
      <c r="K252" s="241">
        <f t="shared" si="433"/>
        <v>272.27485999999999</v>
      </c>
      <c r="L252" s="242">
        <f t="shared" si="434"/>
        <v>53.82</v>
      </c>
      <c r="M252" s="26">
        <v>1.6E-2</v>
      </c>
      <c r="N252" s="26">
        <f t="shared" si="435"/>
        <v>7.0264479999999994</v>
      </c>
      <c r="O252" s="241">
        <f t="shared" si="436"/>
        <v>378.16343135999995</v>
      </c>
      <c r="P252" s="243">
        <f t="shared" si="437"/>
        <v>1.4811200000000002</v>
      </c>
      <c r="Q252" s="241">
        <f t="shared" si="438"/>
        <v>650.43829135999999</v>
      </c>
      <c r="R252" s="121"/>
    </row>
    <row r="253" spans="1:18" x14ac:dyDescent="0.35">
      <c r="A253" s="69" t="str">
        <f>IF(TRIM(G253)&lt;&gt;"",COUNTA(G$11:$G253)&amp;"","")</f>
        <v>210</v>
      </c>
      <c r="B253" s="284"/>
      <c r="C253" s="284"/>
      <c r="D253" s="34"/>
      <c r="E253" s="67" t="s">
        <v>126</v>
      </c>
      <c r="F253" s="71">
        <f>F248*13.5</f>
        <v>145.66499999999999</v>
      </c>
      <c r="G253" s="63" t="s">
        <v>69</v>
      </c>
      <c r="H253" s="22">
        <v>0.1</v>
      </c>
      <c r="I253" s="49">
        <f t="shared" si="432"/>
        <v>160.23149999999998</v>
      </c>
      <c r="J253" s="240">
        <f>25.39/32</f>
        <v>0.79343750000000002</v>
      </c>
      <c r="K253" s="241">
        <f t="shared" si="433"/>
        <v>127.13368078124999</v>
      </c>
      <c r="L253" s="242">
        <f t="shared" si="434"/>
        <v>53.82</v>
      </c>
      <c r="M253" s="26">
        <v>1.6E-2</v>
      </c>
      <c r="N253" s="26">
        <f t="shared" si="435"/>
        <v>2.563704</v>
      </c>
      <c r="O253" s="241">
        <f t="shared" si="436"/>
        <v>137.97854928000001</v>
      </c>
      <c r="P253" s="243">
        <f t="shared" si="437"/>
        <v>1.6545575000000001</v>
      </c>
      <c r="Q253" s="241">
        <f t="shared" si="438"/>
        <v>265.11223006124999</v>
      </c>
      <c r="R253" s="121"/>
    </row>
    <row r="254" spans="1:18" x14ac:dyDescent="0.35">
      <c r="A254" s="69" t="str">
        <f>IF(TRIM(G254)&lt;&gt;"",COUNTA(G$11:$G254)&amp;"","")</f>
        <v>211</v>
      </c>
      <c r="B254" s="284"/>
      <c r="C254" s="284"/>
      <c r="D254" s="34"/>
      <c r="E254" s="228" t="s">
        <v>162</v>
      </c>
      <c r="F254" s="71">
        <f>F248*22.5</f>
        <v>242.77499999999998</v>
      </c>
      <c r="G254" s="63" t="s">
        <v>69</v>
      </c>
      <c r="H254" s="22">
        <v>0.1</v>
      </c>
      <c r="I254" s="49">
        <f t="shared" si="432"/>
        <v>267.05249999999995</v>
      </c>
      <c r="J254" s="240">
        <v>0.49</v>
      </c>
      <c r="K254" s="241">
        <f t="shared" si="433"/>
        <v>130.85572499999998</v>
      </c>
      <c r="L254" s="242">
        <f t="shared" si="434"/>
        <v>53.82</v>
      </c>
      <c r="M254" s="26">
        <v>0.01</v>
      </c>
      <c r="N254" s="26">
        <f t="shared" si="435"/>
        <v>2.6705249999999996</v>
      </c>
      <c r="O254" s="241">
        <f t="shared" si="436"/>
        <v>143.72765549999997</v>
      </c>
      <c r="P254" s="243">
        <f t="shared" si="437"/>
        <v>1.0282</v>
      </c>
      <c r="Q254" s="241">
        <f t="shared" si="438"/>
        <v>274.58338049999998</v>
      </c>
      <c r="R254" s="121"/>
    </row>
    <row r="255" spans="1:18" x14ac:dyDescent="0.35">
      <c r="A255" s="69" t="str">
        <f>IF(TRIM(G255)&lt;&gt;"",COUNTA(G$11:$G255)&amp;"","")</f>
        <v>212</v>
      </c>
      <c r="B255" s="284"/>
      <c r="C255" s="284"/>
      <c r="D255" s="34"/>
      <c r="E255" s="228" t="s">
        <v>163</v>
      </c>
      <c r="F255" s="71">
        <f>F248</f>
        <v>10.79</v>
      </c>
      <c r="G255" s="63" t="s">
        <v>83</v>
      </c>
      <c r="H255" s="22">
        <v>0.1</v>
      </c>
      <c r="I255" s="49">
        <f t="shared" si="432"/>
        <v>11.869</v>
      </c>
      <c r="J255" s="240">
        <v>0.85</v>
      </c>
      <c r="K255" s="241">
        <f t="shared" si="433"/>
        <v>10.088649999999999</v>
      </c>
      <c r="L255" s="242">
        <f t="shared" si="434"/>
        <v>53.82</v>
      </c>
      <c r="M255" s="26">
        <v>0.02</v>
      </c>
      <c r="N255" s="26">
        <f t="shared" si="435"/>
        <v>0.23738000000000001</v>
      </c>
      <c r="O255" s="241">
        <f t="shared" si="436"/>
        <v>12.7757916</v>
      </c>
      <c r="P255" s="243">
        <f t="shared" si="437"/>
        <v>1.9263999999999999</v>
      </c>
      <c r="Q255" s="241">
        <f t="shared" si="438"/>
        <v>22.864441599999999</v>
      </c>
      <c r="R255" s="121"/>
    </row>
    <row r="256" spans="1:18" x14ac:dyDescent="0.35">
      <c r="A256" s="69" t="str">
        <f>IF(TRIM(G256)&lt;&gt;"",COUNTA(G$11:$G256)&amp;"","")</f>
        <v>213</v>
      </c>
      <c r="B256" s="284"/>
      <c r="C256" s="284"/>
      <c r="D256" s="34"/>
      <c r="E256" s="228" t="s">
        <v>164</v>
      </c>
      <c r="F256" s="71">
        <f>F248</f>
        <v>10.79</v>
      </c>
      <c r="G256" s="63" t="s">
        <v>83</v>
      </c>
      <c r="H256" s="22">
        <v>0.1</v>
      </c>
      <c r="I256" s="49">
        <f t="shared" si="432"/>
        <v>11.869</v>
      </c>
      <c r="J256" s="240">
        <f>26.69/16</f>
        <v>1.6681250000000001</v>
      </c>
      <c r="K256" s="241">
        <f t="shared" si="433"/>
        <v>19.798975625000001</v>
      </c>
      <c r="L256" s="242">
        <f t="shared" si="434"/>
        <v>53.82</v>
      </c>
      <c r="M256" s="26">
        <v>2.4E-2</v>
      </c>
      <c r="N256" s="26">
        <f t="shared" si="435"/>
        <v>0.284856</v>
      </c>
      <c r="O256" s="241">
        <f t="shared" si="436"/>
        <v>15.33094992</v>
      </c>
      <c r="P256" s="243">
        <f t="shared" si="437"/>
        <v>2.9598049999999998</v>
      </c>
      <c r="Q256" s="241">
        <f t="shared" si="438"/>
        <v>35.129925544999999</v>
      </c>
      <c r="R256" s="121"/>
    </row>
    <row r="257" spans="1:18" x14ac:dyDescent="0.35">
      <c r="A257" s="69" t="str">
        <f>IF(TRIM(G257)&lt;&gt;"",COUNTA(G$11:$G257)&amp;"","")</f>
        <v>214</v>
      </c>
      <c r="B257" s="284"/>
      <c r="C257" s="284"/>
      <c r="D257" s="34"/>
      <c r="E257" s="228" t="s">
        <v>165</v>
      </c>
      <c r="F257" s="71">
        <f>(F248*13.5)/2</f>
        <v>72.832499999999996</v>
      </c>
      <c r="G257" s="63" t="s">
        <v>83</v>
      </c>
      <c r="H257" s="22">
        <v>0.1</v>
      </c>
      <c r="I257" s="49">
        <f t="shared" si="432"/>
        <v>80.115749999999991</v>
      </c>
      <c r="J257" s="240">
        <v>0.85</v>
      </c>
      <c r="K257" s="241">
        <f t="shared" si="433"/>
        <v>68.098387499999987</v>
      </c>
      <c r="L257" s="242">
        <f t="shared" si="434"/>
        <v>53.82</v>
      </c>
      <c r="M257" s="26">
        <v>0.02</v>
      </c>
      <c r="N257" s="26">
        <f t="shared" si="435"/>
        <v>1.6023149999999999</v>
      </c>
      <c r="O257" s="241">
        <f t="shared" si="436"/>
        <v>86.236593299999996</v>
      </c>
      <c r="P257" s="243">
        <f t="shared" si="437"/>
        <v>1.9263999999999999</v>
      </c>
      <c r="Q257" s="241">
        <f t="shared" si="438"/>
        <v>154.33498079999998</v>
      </c>
      <c r="R257" s="121"/>
    </row>
    <row r="258" spans="1:18" x14ac:dyDescent="0.35">
      <c r="A258" s="69" t="str">
        <f>IF(TRIM(G258)&lt;&gt;"",COUNTA(G$11:$G258)&amp;"","")</f>
        <v>215</v>
      </c>
      <c r="B258" s="284"/>
      <c r="C258" s="284"/>
      <c r="D258" s="34"/>
      <c r="E258" s="228" t="s">
        <v>166</v>
      </c>
      <c r="F258" s="71">
        <f>F248</f>
        <v>10.79</v>
      </c>
      <c r="G258" s="63" t="s">
        <v>83</v>
      </c>
      <c r="H258" s="22">
        <v>0.1</v>
      </c>
      <c r="I258" s="49">
        <f t="shared" si="432"/>
        <v>11.869</v>
      </c>
      <c r="J258" s="240">
        <v>2.2999999999999998</v>
      </c>
      <c r="K258" s="241">
        <f t="shared" si="433"/>
        <v>27.298699999999997</v>
      </c>
      <c r="L258" s="242">
        <f t="shared" si="434"/>
        <v>53.82</v>
      </c>
      <c r="M258" s="26">
        <v>2.5999999999999999E-2</v>
      </c>
      <c r="N258" s="26">
        <f t="shared" si="435"/>
        <v>0.30859399999999998</v>
      </c>
      <c r="O258" s="241">
        <f t="shared" si="436"/>
        <v>16.60852908</v>
      </c>
      <c r="P258" s="243">
        <f t="shared" si="437"/>
        <v>3.6993199999999997</v>
      </c>
      <c r="Q258" s="241">
        <f t="shared" si="438"/>
        <v>43.907229079999993</v>
      </c>
      <c r="R258" s="121"/>
    </row>
    <row r="259" spans="1:18" x14ac:dyDescent="0.35">
      <c r="A259" s="69" t="str">
        <f>IF(TRIM(G259)&lt;&gt;"",COUNTA(G$11:$G259)&amp;"","")</f>
        <v>216</v>
      </c>
      <c r="B259" s="284"/>
      <c r="C259" s="284"/>
      <c r="D259" s="34"/>
      <c r="E259" s="228" t="s">
        <v>108</v>
      </c>
      <c r="F259" s="71">
        <f>F248*4</f>
        <v>43.16</v>
      </c>
      <c r="G259" s="63" t="s">
        <v>83</v>
      </c>
      <c r="H259" s="22">
        <v>0.1</v>
      </c>
      <c r="I259" s="49">
        <f t="shared" si="432"/>
        <v>47.475999999999999</v>
      </c>
      <c r="J259" s="240">
        <v>0.2</v>
      </c>
      <c r="K259" s="241">
        <f t="shared" si="433"/>
        <v>9.4952000000000005</v>
      </c>
      <c r="L259" s="242">
        <f t="shared" si="434"/>
        <v>53.82</v>
      </c>
      <c r="M259" s="26">
        <v>1.6E-2</v>
      </c>
      <c r="N259" s="26">
        <f t="shared" si="435"/>
        <v>0.75961599999999996</v>
      </c>
      <c r="O259" s="241">
        <f t="shared" si="436"/>
        <v>40.882533119999998</v>
      </c>
      <c r="P259" s="243">
        <f t="shared" si="437"/>
        <v>1.0611200000000001</v>
      </c>
      <c r="Q259" s="241">
        <f t="shared" si="438"/>
        <v>50.377733120000002</v>
      </c>
      <c r="R259" s="121"/>
    </row>
    <row r="260" spans="1:18" x14ac:dyDescent="0.35">
      <c r="A260" s="69" t="str">
        <f>IF(TRIM(G260)&lt;&gt;"",COUNTA(G$11:$G260)&amp;"","")</f>
        <v/>
      </c>
      <c r="B260" s="284"/>
      <c r="C260" s="284"/>
      <c r="D260" s="34"/>
      <c r="E260" s="67"/>
      <c r="F260" s="71"/>
      <c r="G260" s="63"/>
      <c r="H260" s="22"/>
      <c r="I260" s="49"/>
      <c r="J260" s="23"/>
      <c r="K260" s="24"/>
      <c r="L260" s="25"/>
      <c r="M260" s="26"/>
      <c r="N260" s="26"/>
      <c r="O260" s="24"/>
      <c r="P260" s="27"/>
      <c r="Q260" s="24"/>
      <c r="R260" s="121"/>
    </row>
    <row r="261" spans="1:18" x14ac:dyDescent="0.35">
      <c r="A261" s="69" t="str">
        <f>IF(TRIM(G261)&lt;&gt;"",COUNTA(G$11:$G261)&amp;"","")</f>
        <v>217</v>
      </c>
      <c r="B261" s="284"/>
      <c r="C261" s="284"/>
      <c r="D261" s="34"/>
      <c r="E261" s="233" t="s">
        <v>143</v>
      </c>
      <c r="F261" s="234">
        <v>101.12</v>
      </c>
      <c r="G261" s="238" t="s">
        <v>83</v>
      </c>
      <c r="H261" s="22"/>
      <c r="I261" s="49"/>
      <c r="J261" s="23"/>
      <c r="K261" s="24"/>
      <c r="L261" s="25"/>
      <c r="M261" s="26"/>
      <c r="N261" s="26"/>
      <c r="O261" s="24"/>
      <c r="P261" s="27"/>
      <c r="Q261" s="24"/>
      <c r="R261" s="121"/>
    </row>
    <row r="262" spans="1:18" x14ac:dyDescent="0.35">
      <c r="A262" s="69" t="str">
        <f>IF(TRIM(G262)&lt;&gt;"",COUNTA(G$11:$G262)&amp;"","")</f>
        <v>218</v>
      </c>
      <c r="B262" s="284"/>
      <c r="C262" s="284"/>
      <c r="D262" s="34"/>
      <c r="E262" s="67" t="s">
        <v>144</v>
      </c>
      <c r="F262" s="71">
        <f>F261/1.33+1</f>
        <v>77.030075187969928</v>
      </c>
      <c r="G262" s="63" t="s">
        <v>102</v>
      </c>
      <c r="H262" s="22">
        <v>0</v>
      </c>
      <c r="I262" s="49">
        <f t="shared" ref="I262:I263" si="439">IF(F262=0,"",F262+(F262*H262))</f>
        <v>77.030075187969928</v>
      </c>
      <c r="J262" s="240">
        <f>1.69*24</f>
        <v>40.56</v>
      </c>
      <c r="K262" s="241">
        <f t="shared" ref="K262:K263" si="440">IF(F262=0,"",J262*I262)</f>
        <v>3124.3398496240607</v>
      </c>
      <c r="L262" s="242">
        <f t="shared" ref="L262:L263" si="441">IF(F262=0,"",L$34)</f>
        <v>53.82</v>
      </c>
      <c r="M262" s="26">
        <f>24*0.0656</f>
        <v>1.5744000000000002</v>
      </c>
      <c r="N262" s="26">
        <f t="shared" ref="N262:N263" si="442">IF(F262=0,"",M262*I262)</f>
        <v>121.27615037593988</v>
      </c>
      <c r="O262" s="241">
        <f t="shared" ref="O262:O263" si="443">IF(F262=0,"",N262*L262)</f>
        <v>6527.0824132330845</v>
      </c>
      <c r="P262" s="243">
        <f t="shared" ref="P262:P263" si="444">IF(F262=0,"",(K262+O262)/I262)</f>
        <v>125.29420800000001</v>
      </c>
      <c r="Q262" s="241">
        <f t="shared" ref="Q262:Q263" si="445">IF(F262=0,"",(P262*I262))</f>
        <v>9651.4222628571442</v>
      </c>
      <c r="R262" s="121"/>
    </row>
    <row r="263" spans="1:18" x14ac:dyDescent="0.35">
      <c r="A263" s="69" t="str">
        <f>IF(TRIM(G263)&lt;&gt;"",COUNTA(G$11:$G263)&amp;"","")</f>
        <v>219</v>
      </c>
      <c r="B263" s="284"/>
      <c r="C263" s="284"/>
      <c r="D263" s="34"/>
      <c r="E263" s="228" t="s">
        <v>145</v>
      </c>
      <c r="F263" s="71">
        <f>F261</f>
        <v>101.12</v>
      </c>
      <c r="G263" s="63" t="s">
        <v>83</v>
      </c>
      <c r="H263" s="22">
        <v>0.1</v>
      </c>
      <c r="I263" s="49">
        <f t="shared" si="439"/>
        <v>111.232</v>
      </c>
      <c r="J263" s="240">
        <v>1.69</v>
      </c>
      <c r="K263" s="241">
        <f t="shared" si="440"/>
        <v>187.98208</v>
      </c>
      <c r="L263" s="242">
        <f t="shared" si="441"/>
        <v>53.82</v>
      </c>
      <c r="M263" s="26">
        <v>6.5600000000000006E-2</v>
      </c>
      <c r="N263" s="26">
        <f t="shared" si="442"/>
        <v>7.2968192000000007</v>
      </c>
      <c r="O263" s="241">
        <f t="shared" si="443"/>
        <v>392.71480934400006</v>
      </c>
      <c r="P263" s="243">
        <f t="shared" si="444"/>
        <v>5.2205920000000008</v>
      </c>
      <c r="Q263" s="241">
        <f t="shared" si="445"/>
        <v>580.69688934400006</v>
      </c>
      <c r="R263" s="121"/>
    </row>
    <row r="264" spans="1:18" x14ac:dyDescent="0.35">
      <c r="A264" s="69" t="str">
        <f>IF(TRIM(G264)&lt;&gt;"",COUNTA(G$11:$G264)&amp;"","")</f>
        <v>220</v>
      </c>
      <c r="B264" s="284"/>
      <c r="C264" s="284"/>
      <c r="D264" s="34"/>
      <c r="E264" s="228" t="s">
        <v>146</v>
      </c>
      <c r="F264" s="71">
        <f>F261</f>
        <v>101.12</v>
      </c>
      <c r="G264" s="63" t="s">
        <v>83</v>
      </c>
      <c r="H264" s="22">
        <v>0.1</v>
      </c>
      <c r="I264" s="49">
        <f t="shared" ref="I264:I271" si="446">IF(F264=0,"",F264+(F264*H264))</f>
        <v>111.232</v>
      </c>
      <c r="J264" s="240">
        <v>1.69</v>
      </c>
      <c r="K264" s="241">
        <f t="shared" ref="K264:K271" si="447">IF(F264=0,"",J264*I264)</f>
        <v>187.98208</v>
      </c>
      <c r="L264" s="242">
        <f t="shared" ref="L264" si="448">IF(F264=0,"",L$34)</f>
        <v>53.82</v>
      </c>
      <c r="M264" s="26">
        <v>6.5600000000000006E-2</v>
      </c>
      <c r="N264" s="26">
        <f t="shared" ref="N264:N271" si="449">IF(F264=0,"",M264*I264)</f>
        <v>7.2968192000000007</v>
      </c>
      <c r="O264" s="241">
        <f t="shared" ref="O264:O271" si="450">IF(F264=0,"",N264*L264)</f>
        <v>392.71480934400006</v>
      </c>
      <c r="P264" s="243">
        <f t="shared" ref="P264:P271" si="451">IF(F264=0,"",(K264+O264)/I264)</f>
        <v>5.2205920000000008</v>
      </c>
      <c r="Q264" s="241">
        <f t="shared" ref="Q264:Q271" si="452">IF(F264=0,"",(P264*I264))</f>
        <v>580.69688934400006</v>
      </c>
      <c r="R264" s="121"/>
    </row>
    <row r="265" spans="1:18" x14ac:dyDescent="0.35">
      <c r="A265" s="69" t="str">
        <f>IF(TRIM(G265)&lt;&gt;"",COUNTA(G$11:$G265)&amp;"","")</f>
        <v>221</v>
      </c>
      <c r="B265" s="284"/>
      <c r="C265" s="284"/>
      <c r="D265" s="34"/>
      <c r="E265" s="228" t="s">
        <v>125</v>
      </c>
      <c r="F265" s="71">
        <f>(F261*13.5)+(F261*8.5)</f>
        <v>2224.6400000000003</v>
      </c>
      <c r="G265" s="63" t="s">
        <v>69</v>
      </c>
      <c r="H265" s="22">
        <v>0.1</v>
      </c>
      <c r="I265" s="49">
        <f t="shared" si="446"/>
        <v>2447.1040000000003</v>
      </c>
      <c r="J265" s="240">
        <v>0.62</v>
      </c>
      <c r="K265" s="241">
        <f t="shared" si="447"/>
        <v>1517.2044800000001</v>
      </c>
      <c r="L265" s="242">
        <f t="shared" ref="L265" si="453">IF(F265=0,"",L$34)</f>
        <v>53.82</v>
      </c>
      <c r="M265" s="26">
        <v>1.6E-2</v>
      </c>
      <c r="N265" s="26">
        <f t="shared" si="449"/>
        <v>39.153664000000006</v>
      </c>
      <c r="O265" s="241">
        <f t="shared" si="450"/>
        <v>2107.2501964800003</v>
      </c>
      <c r="P265" s="243">
        <f t="shared" si="451"/>
        <v>1.4811200000000002</v>
      </c>
      <c r="Q265" s="241">
        <f t="shared" si="452"/>
        <v>3624.4546764800011</v>
      </c>
      <c r="R265" s="121"/>
    </row>
    <row r="266" spans="1:18" x14ac:dyDescent="0.35">
      <c r="A266" s="69" t="str">
        <f>IF(TRIM(G266)&lt;&gt;"",COUNTA(G$11:$G266)&amp;"","")</f>
        <v>222</v>
      </c>
      <c r="B266" s="284"/>
      <c r="C266" s="284"/>
      <c r="D266" s="34"/>
      <c r="E266" s="67" t="s">
        <v>126</v>
      </c>
      <c r="F266" s="71">
        <f>(F261*13.5)</f>
        <v>1365.1200000000001</v>
      </c>
      <c r="G266" s="63" t="s">
        <v>69</v>
      </c>
      <c r="H266" s="22">
        <v>0.1</v>
      </c>
      <c r="I266" s="49">
        <f t="shared" si="446"/>
        <v>1501.6320000000001</v>
      </c>
      <c r="J266" s="240">
        <f>25.39/32</f>
        <v>0.79343750000000002</v>
      </c>
      <c r="K266" s="241">
        <f t="shared" si="447"/>
        <v>1191.4511400000001</v>
      </c>
      <c r="L266" s="242">
        <f t="shared" ref="L266" si="454">IF(F266=0,"",L$34)</f>
        <v>53.82</v>
      </c>
      <c r="M266" s="26">
        <v>1.6E-2</v>
      </c>
      <c r="N266" s="26">
        <f t="shared" si="449"/>
        <v>24.026112000000001</v>
      </c>
      <c r="O266" s="241">
        <f t="shared" si="450"/>
        <v>1293.0853478400002</v>
      </c>
      <c r="P266" s="243">
        <f t="shared" si="451"/>
        <v>1.6545575000000003</v>
      </c>
      <c r="Q266" s="241">
        <f t="shared" si="452"/>
        <v>2484.5364878400005</v>
      </c>
      <c r="R266" s="121"/>
    </row>
    <row r="267" spans="1:18" x14ac:dyDescent="0.35">
      <c r="A267" s="69" t="str">
        <f>IF(TRIM(G267)&lt;&gt;"",COUNTA(G$11:$G267)&amp;"","")</f>
        <v>223</v>
      </c>
      <c r="B267" s="284"/>
      <c r="C267" s="284"/>
      <c r="D267" s="34"/>
      <c r="E267" s="228" t="s">
        <v>163</v>
      </c>
      <c r="F267" s="71">
        <f>F261</f>
        <v>101.12</v>
      </c>
      <c r="G267" s="63" t="s">
        <v>83</v>
      </c>
      <c r="H267" s="22">
        <v>0.1</v>
      </c>
      <c r="I267" s="49">
        <f t="shared" si="446"/>
        <v>111.232</v>
      </c>
      <c r="J267" s="240">
        <v>0.85</v>
      </c>
      <c r="K267" s="241">
        <f t="shared" si="447"/>
        <v>94.547200000000004</v>
      </c>
      <c r="L267" s="242">
        <f t="shared" ref="L267:L268" si="455">IF(F267=0,"",L$34)</f>
        <v>53.82</v>
      </c>
      <c r="M267" s="26">
        <v>0.02</v>
      </c>
      <c r="N267" s="26">
        <f t="shared" si="449"/>
        <v>2.22464</v>
      </c>
      <c r="O267" s="241">
        <f t="shared" si="450"/>
        <v>119.7301248</v>
      </c>
      <c r="P267" s="243">
        <f t="shared" si="451"/>
        <v>1.9264000000000001</v>
      </c>
      <c r="Q267" s="241">
        <f t="shared" si="452"/>
        <v>214.2773248</v>
      </c>
      <c r="R267" s="121"/>
    </row>
    <row r="268" spans="1:18" x14ac:dyDescent="0.35">
      <c r="A268" s="69" t="str">
        <f>IF(TRIM(G268)&lt;&gt;"",COUNTA(G$11:$G268)&amp;"","")</f>
        <v>224</v>
      </c>
      <c r="B268" s="284"/>
      <c r="C268" s="284"/>
      <c r="D268" s="34"/>
      <c r="E268" s="228" t="s">
        <v>164</v>
      </c>
      <c r="F268" s="71">
        <f>F261</f>
        <v>101.12</v>
      </c>
      <c r="G268" s="63" t="s">
        <v>83</v>
      </c>
      <c r="H268" s="22">
        <v>0.1</v>
      </c>
      <c r="I268" s="49">
        <f t="shared" si="446"/>
        <v>111.232</v>
      </c>
      <c r="J268" s="240">
        <f>26.69/16</f>
        <v>1.6681250000000001</v>
      </c>
      <c r="K268" s="241">
        <f t="shared" si="447"/>
        <v>185.54888</v>
      </c>
      <c r="L268" s="242">
        <f t="shared" si="455"/>
        <v>53.82</v>
      </c>
      <c r="M268" s="26">
        <v>2.4E-2</v>
      </c>
      <c r="N268" s="26">
        <f t="shared" si="449"/>
        <v>2.6695679999999999</v>
      </c>
      <c r="O268" s="241">
        <f t="shared" si="450"/>
        <v>143.67614975999999</v>
      </c>
      <c r="P268" s="243">
        <f t="shared" si="451"/>
        <v>2.9598049999999998</v>
      </c>
      <c r="Q268" s="241">
        <f t="shared" si="452"/>
        <v>329.22502975999998</v>
      </c>
      <c r="R268" s="121"/>
    </row>
    <row r="269" spans="1:18" x14ac:dyDescent="0.35">
      <c r="A269" s="69" t="str">
        <f>IF(TRIM(G269)&lt;&gt;"",COUNTA(G$11:$G269)&amp;"","")</f>
        <v>225</v>
      </c>
      <c r="B269" s="284"/>
      <c r="C269" s="284"/>
      <c r="D269" s="34"/>
      <c r="E269" s="228" t="s">
        <v>165</v>
      </c>
      <c r="F269" s="71">
        <f>(F261*14)/2</f>
        <v>707.84</v>
      </c>
      <c r="G269" s="63" t="s">
        <v>83</v>
      </c>
      <c r="H269" s="22">
        <v>0.1</v>
      </c>
      <c r="I269" s="49">
        <f t="shared" si="446"/>
        <v>778.62400000000002</v>
      </c>
      <c r="J269" s="240">
        <v>0.85</v>
      </c>
      <c r="K269" s="241">
        <f t="shared" si="447"/>
        <v>661.83040000000005</v>
      </c>
      <c r="L269" s="242">
        <f t="shared" ref="L269:L271" si="456">IF(F269=0,"",L$34)</f>
        <v>53.82</v>
      </c>
      <c r="M269" s="26">
        <v>0.02</v>
      </c>
      <c r="N269" s="26">
        <f t="shared" si="449"/>
        <v>15.572480000000001</v>
      </c>
      <c r="O269" s="241">
        <f t="shared" si="450"/>
        <v>838.11087359999999</v>
      </c>
      <c r="P269" s="243">
        <f t="shared" si="451"/>
        <v>1.9263999999999999</v>
      </c>
      <c r="Q269" s="241">
        <f t="shared" si="452"/>
        <v>1499.9412735999999</v>
      </c>
      <c r="R269" s="121"/>
    </row>
    <row r="270" spans="1:18" x14ac:dyDescent="0.35">
      <c r="A270" s="69" t="str">
        <f>IF(TRIM(G270)&lt;&gt;"",COUNTA(G$11:$G270)&amp;"","")</f>
        <v>226</v>
      </c>
      <c r="B270" s="284"/>
      <c r="C270" s="284"/>
      <c r="D270" s="34"/>
      <c r="E270" s="228" t="s">
        <v>166</v>
      </c>
      <c r="F270" s="71">
        <f>F261</f>
        <v>101.12</v>
      </c>
      <c r="G270" s="63" t="s">
        <v>83</v>
      </c>
      <c r="H270" s="22">
        <v>0.1</v>
      </c>
      <c r="I270" s="49">
        <f t="shared" si="446"/>
        <v>111.232</v>
      </c>
      <c r="J270" s="240">
        <v>2.2999999999999998</v>
      </c>
      <c r="K270" s="241">
        <f t="shared" si="447"/>
        <v>255.83359999999999</v>
      </c>
      <c r="L270" s="242">
        <f t="shared" si="456"/>
        <v>53.82</v>
      </c>
      <c r="M270" s="26">
        <v>2.5999999999999999E-2</v>
      </c>
      <c r="N270" s="26">
        <f t="shared" si="449"/>
        <v>2.8920319999999999</v>
      </c>
      <c r="O270" s="241">
        <f t="shared" si="450"/>
        <v>155.64916224000001</v>
      </c>
      <c r="P270" s="243">
        <f t="shared" si="451"/>
        <v>3.6993200000000002</v>
      </c>
      <c r="Q270" s="241">
        <f t="shared" si="452"/>
        <v>411.48276224</v>
      </c>
      <c r="R270" s="121"/>
    </row>
    <row r="271" spans="1:18" x14ac:dyDescent="0.35">
      <c r="A271" s="69" t="str">
        <f>IF(TRIM(G271)&lt;&gt;"",COUNTA(G$11:$G271)&amp;"","")</f>
        <v>227</v>
      </c>
      <c r="B271" s="284"/>
      <c r="C271" s="284"/>
      <c r="D271" s="34"/>
      <c r="E271" s="67" t="s">
        <v>108</v>
      </c>
      <c r="F271" s="71">
        <f>F261*4</f>
        <v>404.48</v>
      </c>
      <c r="G271" s="63" t="s">
        <v>83</v>
      </c>
      <c r="H271" s="22">
        <v>0.1</v>
      </c>
      <c r="I271" s="49">
        <f t="shared" si="446"/>
        <v>444.928</v>
      </c>
      <c r="J271" s="240">
        <v>0.2</v>
      </c>
      <c r="K271" s="241">
        <f t="shared" si="447"/>
        <v>88.985600000000005</v>
      </c>
      <c r="L271" s="242">
        <f t="shared" si="456"/>
        <v>53.82</v>
      </c>
      <c r="M271" s="26">
        <v>1.6E-2</v>
      </c>
      <c r="N271" s="26">
        <f t="shared" si="449"/>
        <v>7.1188479999999998</v>
      </c>
      <c r="O271" s="241">
        <f t="shared" si="450"/>
        <v>383.13639935999998</v>
      </c>
      <c r="P271" s="243">
        <f t="shared" si="451"/>
        <v>1.0611200000000001</v>
      </c>
      <c r="Q271" s="241">
        <f t="shared" si="452"/>
        <v>472.12199936000002</v>
      </c>
      <c r="R271" s="121"/>
    </row>
    <row r="272" spans="1:18" x14ac:dyDescent="0.35">
      <c r="A272" s="69" t="str">
        <f>IF(TRIM(G272)&lt;&gt;"",COUNTA(G$11:$G349)&amp;"","")</f>
        <v/>
      </c>
      <c r="B272" s="284"/>
      <c r="C272" s="284"/>
      <c r="D272" s="34"/>
      <c r="E272" s="67"/>
      <c r="F272" s="71"/>
      <c r="G272" s="63"/>
      <c r="H272" s="22"/>
      <c r="I272" s="49"/>
      <c r="J272" s="23"/>
      <c r="K272" s="24"/>
      <c r="L272" s="25"/>
      <c r="M272" s="26"/>
      <c r="N272" s="26"/>
      <c r="O272" s="24"/>
      <c r="P272" s="27"/>
      <c r="Q272" s="24"/>
      <c r="R272" s="121"/>
    </row>
    <row r="273" spans="1:18" x14ac:dyDescent="0.35">
      <c r="A273" s="69" t="str">
        <f>IF(TRIM(G273)&lt;&gt;"",COUNTA(G$11:$G273)&amp;"","")</f>
        <v>228</v>
      </c>
      <c r="B273" s="284"/>
      <c r="C273" s="284"/>
      <c r="D273" s="34"/>
      <c r="E273" s="233" t="s">
        <v>177</v>
      </c>
      <c r="F273" s="234">
        <v>8.5500000000000007</v>
      </c>
      <c r="G273" s="238" t="s">
        <v>83</v>
      </c>
      <c r="H273" s="22"/>
      <c r="I273" s="49"/>
      <c r="J273" s="23"/>
      <c r="K273" s="24"/>
      <c r="L273" s="25"/>
      <c r="M273" s="26"/>
      <c r="N273" s="26"/>
      <c r="O273" s="24"/>
      <c r="P273" s="27"/>
      <c r="Q273" s="24"/>
      <c r="R273" s="121"/>
    </row>
    <row r="274" spans="1:18" x14ac:dyDescent="0.35">
      <c r="A274" s="69" t="str">
        <f>IF(TRIM(G274)&lt;&gt;"",COUNTA(G$11:$G274)&amp;"","")</f>
        <v>229</v>
      </c>
      <c r="B274" s="284"/>
      <c r="C274" s="284"/>
      <c r="D274" s="34"/>
      <c r="E274" s="67" t="s">
        <v>122</v>
      </c>
      <c r="F274" s="71">
        <f>F273/1.33+1</f>
        <v>7.4285714285714288</v>
      </c>
      <c r="G274" s="63" t="s">
        <v>102</v>
      </c>
      <c r="H274" s="22">
        <v>0</v>
      </c>
      <c r="I274" s="49">
        <f t="shared" ref="I274:I275" si="457">IF(F274=0,"",F274+(F274*H274))</f>
        <v>7.4285714285714288</v>
      </c>
      <c r="J274" s="240">
        <f>1.26*14.5</f>
        <v>18.27</v>
      </c>
      <c r="K274" s="241">
        <f t="shared" ref="K274:K275" si="458">IF(F274=0,"",J274*I274)</f>
        <v>135.72</v>
      </c>
      <c r="L274" s="242">
        <f t="shared" ref="L274:L275" si="459">IF(F274=0,"",L$34)</f>
        <v>53.82</v>
      </c>
      <c r="M274" s="26">
        <f>0.052*14.5</f>
        <v>0.754</v>
      </c>
      <c r="N274" s="26">
        <f t="shared" ref="N274:N275" si="460">IF(F274=0,"",M274*I274)</f>
        <v>5.6011428571428574</v>
      </c>
      <c r="O274" s="241">
        <f t="shared" ref="O274:O275" si="461">IF(F274=0,"",N274*L274)</f>
        <v>301.45350857142859</v>
      </c>
      <c r="P274" s="243">
        <f t="shared" ref="P274:P275" si="462">IF(F274=0,"",(K274+O274)/I274)</f>
        <v>58.850279999999998</v>
      </c>
      <c r="Q274" s="241">
        <f t="shared" ref="Q274:Q275" si="463">IF(F274=0,"",(P274*I274))</f>
        <v>437.17350857142856</v>
      </c>
      <c r="R274" s="121"/>
    </row>
    <row r="275" spans="1:18" x14ac:dyDescent="0.35">
      <c r="A275" s="69" t="str">
        <f>IF(TRIM(G275)&lt;&gt;"",COUNTA(G$11:$G275)&amp;"","")</f>
        <v>230</v>
      </c>
      <c r="B275" s="284"/>
      <c r="C275" s="284"/>
      <c r="D275" s="34"/>
      <c r="E275" s="228" t="s">
        <v>123</v>
      </c>
      <c r="F275" s="71">
        <f>F273</f>
        <v>8.5500000000000007</v>
      </c>
      <c r="G275" s="63" t="s">
        <v>83</v>
      </c>
      <c r="H275" s="22">
        <v>0.1</v>
      </c>
      <c r="I275" s="49">
        <f t="shared" si="457"/>
        <v>9.4050000000000011</v>
      </c>
      <c r="J275" s="240">
        <v>1.26</v>
      </c>
      <c r="K275" s="241">
        <f t="shared" si="458"/>
        <v>11.850300000000001</v>
      </c>
      <c r="L275" s="242">
        <f t="shared" si="459"/>
        <v>53.82</v>
      </c>
      <c r="M275" s="26">
        <v>5.1999999999999998E-2</v>
      </c>
      <c r="N275" s="26">
        <f t="shared" si="460"/>
        <v>0.48906000000000005</v>
      </c>
      <c r="O275" s="241">
        <f t="shared" si="461"/>
        <v>26.321209200000002</v>
      </c>
      <c r="P275" s="243">
        <f t="shared" si="462"/>
        <v>4.0586399999999996</v>
      </c>
      <c r="Q275" s="241">
        <f t="shared" si="463"/>
        <v>38.171509200000003</v>
      </c>
      <c r="R275" s="121"/>
    </row>
    <row r="276" spans="1:18" x14ac:dyDescent="0.35">
      <c r="A276" s="69" t="str">
        <f>IF(TRIM(G276)&lt;&gt;"",COUNTA(G$11:$G276)&amp;"","")</f>
        <v>231</v>
      </c>
      <c r="B276" s="284"/>
      <c r="C276" s="284"/>
      <c r="D276" s="34"/>
      <c r="E276" s="228" t="s">
        <v>124</v>
      </c>
      <c r="F276" s="71">
        <f>F273</f>
        <v>8.5500000000000007</v>
      </c>
      <c r="G276" s="63" t="s">
        <v>83</v>
      </c>
      <c r="H276" s="22">
        <v>0.1</v>
      </c>
      <c r="I276" s="49">
        <f t="shared" ref="I276:I279" si="464">IF(F276=0,"",F276+(F276*H276))</f>
        <v>9.4050000000000011</v>
      </c>
      <c r="J276" s="240">
        <v>1.26</v>
      </c>
      <c r="K276" s="241">
        <f t="shared" ref="K276:K279" si="465">IF(F276=0,"",J276*I276)</f>
        <v>11.850300000000001</v>
      </c>
      <c r="L276" s="242">
        <f t="shared" ref="L276:L277" si="466">IF(F276=0,"",L$34)</f>
        <v>53.82</v>
      </c>
      <c r="M276" s="26">
        <v>5.1999999999999998E-2</v>
      </c>
      <c r="N276" s="26">
        <f t="shared" ref="N276:N279" si="467">IF(F276=0,"",M276*I276)</f>
        <v>0.48906000000000005</v>
      </c>
      <c r="O276" s="241">
        <f t="shared" ref="O276:O279" si="468">IF(F276=0,"",N276*L276)</f>
        <v>26.321209200000002</v>
      </c>
      <c r="P276" s="243">
        <f t="shared" ref="P276:P279" si="469">IF(F276=0,"",(K276+O276)/I276)</f>
        <v>4.0586399999999996</v>
      </c>
      <c r="Q276" s="241">
        <f t="shared" ref="Q276:Q279" si="470">IF(F276=0,"",(P276*I276))</f>
        <v>38.171509200000003</v>
      </c>
      <c r="R276" s="121"/>
    </row>
    <row r="277" spans="1:18" x14ac:dyDescent="0.35">
      <c r="A277" s="69" t="str">
        <f>IF(TRIM(G277)&lt;&gt;"",COUNTA(G$11:$G277)&amp;"","")</f>
        <v>232</v>
      </c>
      <c r="B277" s="284"/>
      <c r="C277" s="284"/>
      <c r="D277" s="34"/>
      <c r="E277" s="228" t="s">
        <v>125</v>
      </c>
      <c r="F277" s="71">
        <f>(F273*8*2)</f>
        <v>136.80000000000001</v>
      </c>
      <c r="G277" s="63" t="s">
        <v>69</v>
      </c>
      <c r="H277" s="22">
        <v>0.1</v>
      </c>
      <c r="I277" s="49">
        <f t="shared" si="464"/>
        <v>150.48000000000002</v>
      </c>
      <c r="J277" s="240">
        <v>0.62</v>
      </c>
      <c r="K277" s="241">
        <f t="shared" si="465"/>
        <v>93.297600000000017</v>
      </c>
      <c r="L277" s="242">
        <f t="shared" si="466"/>
        <v>53.82</v>
      </c>
      <c r="M277" s="26">
        <v>1.6E-2</v>
      </c>
      <c r="N277" s="26">
        <f t="shared" si="467"/>
        <v>2.4076800000000005</v>
      </c>
      <c r="O277" s="241">
        <f t="shared" si="468"/>
        <v>129.58133760000004</v>
      </c>
      <c r="P277" s="243">
        <f t="shared" si="469"/>
        <v>1.4811200000000002</v>
      </c>
      <c r="Q277" s="241">
        <f t="shared" si="470"/>
        <v>222.87893760000006</v>
      </c>
      <c r="R277" s="121"/>
    </row>
    <row r="278" spans="1:18" x14ac:dyDescent="0.35">
      <c r="A278" s="69"/>
      <c r="B278" s="284"/>
      <c r="C278" s="284"/>
      <c r="D278" s="34"/>
      <c r="E278" s="228" t="s">
        <v>155</v>
      </c>
      <c r="F278" s="71">
        <f>F273*14.5</f>
        <v>123.97500000000001</v>
      </c>
      <c r="G278" s="63" t="s">
        <v>69</v>
      </c>
      <c r="H278" s="22">
        <v>0.1</v>
      </c>
      <c r="I278" s="49">
        <f t="shared" si="464"/>
        <v>136.3725</v>
      </c>
      <c r="J278" s="240">
        <v>0.49</v>
      </c>
      <c r="K278" s="241">
        <f t="shared" si="465"/>
        <v>66.822524999999999</v>
      </c>
      <c r="L278" s="242">
        <f t="shared" ref="L278:L279" si="471">IF(F278=0,"",L$34)</f>
        <v>53.82</v>
      </c>
      <c r="M278" s="26">
        <v>0.01</v>
      </c>
      <c r="N278" s="26">
        <f t="shared" si="467"/>
        <v>1.3637250000000001</v>
      </c>
      <c r="O278" s="241">
        <f t="shared" si="468"/>
        <v>73.3956795</v>
      </c>
      <c r="P278" s="243">
        <f t="shared" si="469"/>
        <v>1.0282</v>
      </c>
      <c r="Q278" s="241">
        <f t="shared" si="470"/>
        <v>140.21820450000001</v>
      </c>
      <c r="R278" s="121"/>
    </row>
    <row r="279" spans="1:18" x14ac:dyDescent="0.35">
      <c r="A279" s="69" t="str">
        <f>IF(TRIM(G279)&lt;&gt;"",COUNTA(G$11:$G279)&amp;"","")</f>
        <v>234</v>
      </c>
      <c r="B279" s="284"/>
      <c r="C279" s="284"/>
      <c r="D279" s="34"/>
      <c r="E279" s="67" t="s">
        <v>108</v>
      </c>
      <c r="F279" s="71">
        <f>F273*4</f>
        <v>34.200000000000003</v>
      </c>
      <c r="G279" s="63" t="s">
        <v>83</v>
      </c>
      <c r="H279" s="22">
        <v>0.1</v>
      </c>
      <c r="I279" s="49">
        <f t="shared" si="464"/>
        <v>37.620000000000005</v>
      </c>
      <c r="J279" s="240">
        <v>0.2</v>
      </c>
      <c r="K279" s="241">
        <f t="shared" si="465"/>
        <v>7.5240000000000009</v>
      </c>
      <c r="L279" s="242">
        <f t="shared" si="471"/>
        <v>53.82</v>
      </c>
      <c r="M279" s="26">
        <v>1.6E-2</v>
      </c>
      <c r="N279" s="26">
        <f t="shared" si="467"/>
        <v>0.60192000000000012</v>
      </c>
      <c r="O279" s="241">
        <f t="shared" si="468"/>
        <v>32.39533440000001</v>
      </c>
      <c r="P279" s="243">
        <f t="shared" si="469"/>
        <v>1.0611200000000001</v>
      </c>
      <c r="Q279" s="241">
        <f t="shared" si="470"/>
        <v>39.919334400000004</v>
      </c>
      <c r="R279" s="121"/>
    </row>
    <row r="280" spans="1:18" x14ac:dyDescent="0.35">
      <c r="A280" s="69"/>
      <c r="B280" s="284"/>
      <c r="C280" s="284"/>
      <c r="D280" s="34"/>
      <c r="E280" s="67"/>
      <c r="F280" s="71"/>
      <c r="G280" s="72"/>
      <c r="H280" s="22"/>
      <c r="I280" s="49"/>
      <c r="J280" s="23"/>
      <c r="K280" s="24"/>
      <c r="L280" s="25"/>
      <c r="M280" s="26"/>
      <c r="N280" s="26"/>
      <c r="O280" s="24"/>
      <c r="P280" s="27"/>
      <c r="Q280" s="24"/>
      <c r="R280" s="121"/>
    </row>
    <row r="281" spans="1:18" x14ac:dyDescent="0.35">
      <c r="A281" s="69" t="str">
        <f>IF(TRIM(G281)&lt;&gt;"",COUNTA(G$11:$G281)&amp;"","")</f>
        <v>235</v>
      </c>
      <c r="B281" s="284"/>
      <c r="C281" s="284"/>
      <c r="D281" s="34"/>
      <c r="E281" s="233" t="s">
        <v>176</v>
      </c>
      <c r="F281" s="234">
        <v>6.14</v>
      </c>
      <c r="G281" s="238" t="s">
        <v>83</v>
      </c>
      <c r="H281" s="22"/>
      <c r="I281" s="49"/>
      <c r="J281" s="23"/>
      <c r="K281" s="24"/>
      <c r="L281" s="25"/>
      <c r="M281" s="26"/>
      <c r="N281" s="26"/>
      <c r="O281" s="24"/>
      <c r="P281" s="27"/>
      <c r="Q281" s="24"/>
      <c r="R281" s="121"/>
    </row>
    <row r="282" spans="1:18" x14ac:dyDescent="0.35">
      <c r="A282" s="69" t="str">
        <f>IF(TRIM(G282)&lt;&gt;"",COUNTA(G$11:$G282)&amp;"","")</f>
        <v>236</v>
      </c>
      <c r="B282" s="284"/>
      <c r="C282" s="284"/>
      <c r="D282" s="34"/>
      <c r="E282" s="67" t="s">
        <v>152</v>
      </c>
      <c r="F282" s="71">
        <f>F281/1.33+1</f>
        <v>5.6165413533834583</v>
      </c>
      <c r="G282" s="63" t="s">
        <v>102</v>
      </c>
      <c r="H282" s="22">
        <v>0</v>
      </c>
      <c r="I282" s="49">
        <f t="shared" ref="I282:I283" si="472">IF(F282=0,"",F282+(F282*H282))</f>
        <v>5.6165413533834583</v>
      </c>
      <c r="J282" s="240">
        <f>1.26*12</f>
        <v>15.120000000000001</v>
      </c>
      <c r="K282" s="241">
        <f t="shared" ref="K282:K283" si="473">IF(F282=0,"",J282*I282)</f>
        <v>84.922105263157889</v>
      </c>
      <c r="L282" s="242">
        <f t="shared" ref="L282:L283" si="474">IF(F282=0,"",L$34)</f>
        <v>53.82</v>
      </c>
      <c r="M282" s="26">
        <f>0.052*12</f>
        <v>0.624</v>
      </c>
      <c r="N282" s="26">
        <f t="shared" ref="N282:N283" si="475">IF(F282=0,"",M282*I282)</f>
        <v>3.504721804511278</v>
      </c>
      <c r="O282" s="241">
        <f t="shared" ref="O282:O283" si="476">IF(F282=0,"",N282*L282)</f>
        <v>188.624127518797</v>
      </c>
      <c r="P282" s="243">
        <f t="shared" ref="P282:P283" si="477">IF(F282=0,"",(K282+O282)/I282)</f>
        <v>48.703679999999999</v>
      </c>
      <c r="Q282" s="241">
        <f t="shared" ref="Q282:Q283" si="478">IF(F282=0,"",(P282*I282))</f>
        <v>273.54623278195487</v>
      </c>
      <c r="R282" s="121"/>
    </row>
    <row r="283" spans="1:18" x14ac:dyDescent="0.35">
      <c r="A283" s="69" t="str">
        <f>IF(TRIM(G283)&lt;&gt;"",COUNTA(G$11:$G283)&amp;"","")</f>
        <v>237</v>
      </c>
      <c r="B283" s="284"/>
      <c r="C283" s="284"/>
      <c r="D283" s="34"/>
      <c r="E283" s="228" t="s">
        <v>123</v>
      </c>
      <c r="F283" s="71">
        <f>F281</f>
        <v>6.14</v>
      </c>
      <c r="G283" s="63" t="s">
        <v>83</v>
      </c>
      <c r="H283" s="22">
        <v>0.1</v>
      </c>
      <c r="I283" s="49">
        <f t="shared" si="472"/>
        <v>6.7539999999999996</v>
      </c>
      <c r="J283" s="240">
        <v>1.26</v>
      </c>
      <c r="K283" s="241">
        <f t="shared" si="473"/>
        <v>8.51004</v>
      </c>
      <c r="L283" s="242">
        <f t="shared" si="474"/>
        <v>53.82</v>
      </c>
      <c r="M283" s="26">
        <v>5.1999999999999998E-2</v>
      </c>
      <c r="N283" s="26">
        <f t="shared" si="475"/>
        <v>0.35120799999999996</v>
      </c>
      <c r="O283" s="241">
        <f t="shared" si="476"/>
        <v>18.902014559999998</v>
      </c>
      <c r="P283" s="243">
        <f t="shared" si="477"/>
        <v>4.0586399999999996</v>
      </c>
      <c r="Q283" s="241">
        <f t="shared" si="478"/>
        <v>27.412054559999994</v>
      </c>
      <c r="R283" s="121"/>
    </row>
    <row r="284" spans="1:18" x14ac:dyDescent="0.35">
      <c r="A284" s="69" t="str">
        <f>IF(TRIM(G284)&lt;&gt;"",COUNTA(G$11:$G284)&amp;"","")</f>
        <v>238</v>
      </c>
      <c r="B284" s="284"/>
      <c r="C284" s="284"/>
      <c r="D284" s="34"/>
      <c r="E284" s="228" t="s">
        <v>124</v>
      </c>
      <c r="F284" s="71">
        <f>F281</f>
        <v>6.14</v>
      </c>
      <c r="G284" s="63" t="s">
        <v>83</v>
      </c>
      <c r="H284" s="22">
        <v>0.1</v>
      </c>
      <c r="I284" s="49">
        <f t="shared" ref="I284:I287" si="479">IF(F284=0,"",F284+(F284*H284))</f>
        <v>6.7539999999999996</v>
      </c>
      <c r="J284" s="240">
        <v>1.26</v>
      </c>
      <c r="K284" s="241">
        <f t="shared" ref="K284:K287" si="480">IF(F284=0,"",J284*I284)</f>
        <v>8.51004</v>
      </c>
      <c r="L284" s="242">
        <f t="shared" ref="L284:L285" si="481">IF(F284=0,"",L$34)</f>
        <v>53.82</v>
      </c>
      <c r="M284" s="26">
        <v>5.1999999999999998E-2</v>
      </c>
      <c r="N284" s="26">
        <f t="shared" ref="N284:N287" si="482">IF(F284=0,"",M284*I284)</f>
        <v>0.35120799999999996</v>
      </c>
      <c r="O284" s="241">
        <f t="shared" ref="O284:O287" si="483">IF(F284=0,"",N284*L284)</f>
        <v>18.902014559999998</v>
      </c>
      <c r="P284" s="243">
        <f t="shared" ref="P284:P287" si="484">IF(F284=0,"",(K284+O284)/I284)</f>
        <v>4.0586399999999996</v>
      </c>
      <c r="Q284" s="241">
        <f t="shared" ref="Q284:Q287" si="485">IF(F284=0,"",(P284*I284))</f>
        <v>27.412054559999994</v>
      </c>
      <c r="R284" s="121"/>
    </row>
    <row r="285" spans="1:18" x14ac:dyDescent="0.35">
      <c r="A285" s="69" t="str">
        <f>IF(TRIM(G285)&lt;&gt;"",COUNTA(G$11:$G285)&amp;"","")</f>
        <v>239</v>
      </c>
      <c r="B285" s="284"/>
      <c r="C285" s="284"/>
      <c r="D285" s="34"/>
      <c r="E285" s="228" t="s">
        <v>125</v>
      </c>
      <c r="F285" s="71">
        <f>F281*8*2</f>
        <v>98.24</v>
      </c>
      <c r="G285" s="63" t="s">
        <v>69</v>
      </c>
      <c r="H285" s="22">
        <v>0.1</v>
      </c>
      <c r="I285" s="49">
        <f t="shared" si="479"/>
        <v>108.06399999999999</v>
      </c>
      <c r="J285" s="240">
        <v>0.62</v>
      </c>
      <c r="K285" s="241">
        <f t="shared" si="480"/>
        <v>66.999679999999998</v>
      </c>
      <c r="L285" s="242">
        <f t="shared" si="481"/>
        <v>53.82</v>
      </c>
      <c r="M285" s="26">
        <v>1.6E-2</v>
      </c>
      <c r="N285" s="26">
        <f t="shared" si="482"/>
        <v>1.7290239999999999</v>
      </c>
      <c r="O285" s="241">
        <f t="shared" si="483"/>
        <v>93.056071679999988</v>
      </c>
      <c r="P285" s="243">
        <f t="shared" si="484"/>
        <v>1.48112</v>
      </c>
      <c r="Q285" s="241">
        <f t="shared" si="485"/>
        <v>160.05575167999999</v>
      </c>
      <c r="R285" s="121"/>
    </row>
    <row r="286" spans="1:18" x14ac:dyDescent="0.35">
      <c r="A286" s="69" t="str">
        <f>IF(TRIM(G286)&lt;&gt;"",COUNTA(G$11:$G286)&amp;"","")</f>
        <v>240</v>
      </c>
      <c r="B286" s="284"/>
      <c r="C286" s="284"/>
      <c r="D286" s="34"/>
      <c r="E286" s="228" t="s">
        <v>153</v>
      </c>
      <c r="F286" s="71">
        <f>(F281/4)*2</f>
        <v>3.07</v>
      </c>
      <c r="G286" s="63" t="s">
        <v>83</v>
      </c>
      <c r="H286" s="22">
        <v>0.1</v>
      </c>
      <c r="I286" s="49">
        <f t="shared" si="479"/>
        <v>3.3769999999999998</v>
      </c>
      <c r="J286" s="240">
        <v>1.26</v>
      </c>
      <c r="K286" s="241">
        <f t="shared" si="480"/>
        <v>4.25502</v>
      </c>
      <c r="L286" s="242">
        <f t="shared" ref="L286:L287" si="486">IF(F286=0,"",L$34)</f>
        <v>53.82</v>
      </c>
      <c r="M286" s="26">
        <v>5.1999999999999998E-2</v>
      </c>
      <c r="N286" s="26">
        <f t="shared" si="482"/>
        <v>0.17560399999999998</v>
      </c>
      <c r="O286" s="241">
        <f t="shared" si="483"/>
        <v>9.4510072799999989</v>
      </c>
      <c r="P286" s="243">
        <f t="shared" si="484"/>
        <v>4.0586399999999996</v>
      </c>
      <c r="Q286" s="241">
        <f t="shared" si="485"/>
        <v>13.706027279999997</v>
      </c>
      <c r="R286" s="121"/>
    </row>
    <row r="287" spans="1:18" x14ac:dyDescent="0.35">
      <c r="A287" s="69" t="str">
        <f>IF(TRIM(G287)&lt;&gt;"",COUNTA(G$11:$G287)&amp;"","")</f>
        <v>241</v>
      </c>
      <c r="B287" s="284"/>
      <c r="C287" s="284"/>
      <c r="D287" s="34"/>
      <c r="E287" s="67" t="s">
        <v>108</v>
      </c>
      <c r="F287" s="71">
        <f>F281*4</f>
        <v>24.56</v>
      </c>
      <c r="G287" s="63" t="s">
        <v>83</v>
      </c>
      <c r="H287" s="22">
        <v>0.1</v>
      </c>
      <c r="I287" s="49">
        <f t="shared" si="479"/>
        <v>27.015999999999998</v>
      </c>
      <c r="J287" s="240">
        <v>0.2</v>
      </c>
      <c r="K287" s="241">
        <f t="shared" si="480"/>
        <v>5.4032</v>
      </c>
      <c r="L287" s="242">
        <f t="shared" si="486"/>
        <v>53.82</v>
      </c>
      <c r="M287" s="26">
        <v>1.6E-2</v>
      </c>
      <c r="N287" s="26">
        <f t="shared" si="482"/>
        <v>0.43225599999999997</v>
      </c>
      <c r="O287" s="241">
        <f t="shared" si="483"/>
        <v>23.264017919999997</v>
      </c>
      <c r="P287" s="243">
        <f t="shared" si="484"/>
        <v>1.0611200000000001</v>
      </c>
      <c r="Q287" s="241">
        <f t="shared" si="485"/>
        <v>28.667217919999999</v>
      </c>
      <c r="R287" s="121"/>
    </row>
    <row r="288" spans="1:18" x14ac:dyDescent="0.35">
      <c r="A288" s="69"/>
      <c r="B288" s="284"/>
      <c r="C288" s="284"/>
      <c r="D288" s="34"/>
      <c r="E288" s="67"/>
      <c r="F288" s="71"/>
      <c r="G288" s="72"/>
      <c r="H288" s="22"/>
      <c r="I288" s="49"/>
      <c r="J288" s="23"/>
      <c r="K288" s="24"/>
      <c r="L288" s="25"/>
      <c r="M288" s="26"/>
      <c r="N288" s="26"/>
      <c r="O288" s="24"/>
      <c r="P288" s="27"/>
      <c r="Q288" s="24"/>
      <c r="R288" s="121"/>
    </row>
    <row r="289" spans="1:18" x14ac:dyDescent="0.35">
      <c r="A289" s="69" t="str">
        <f>IF(TRIM(G289)&lt;&gt;"",COUNTA(G$11:$G289)&amp;"","")</f>
        <v>242</v>
      </c>
      <c r="B289" s="284"/>
      <c r="C289" s="284"/>
      <c r="D289" s="34"/>
      <c r="E289" s="233" t="s">
        <v>175</v>
      </c>
      <c r="F289" s="234">
        <v>5.38</v>
      </c>
      <c r="G289" s="238" t="s">
        <v>83</v>
      </c>
      <c r="H289" s="22"/>
      <c r="I289" s="49"/>
      <c r="J289" s="23"/>
      <c r="K289" s="24"/>
      <c r="L289" s="25"/>
      <c r="M289" s="26"/>
      <c r="N289" s="26"/>
      <c r="O289" s="24"/>
      <c r="P289" s="27"/>
      <c r="Q289" s="24"/>
      <c r="R289" s="121"/>
    </row>
    <row r="290" spans="1:18" x14ac:dyDescent="0.35">
      <c r="A290" s="69" t="str">
        <f>IF(TRIM(G290)&lt;&gt;"",COUNTA(G$11:$G290)&amp;"","")</f>
        <v>243</v>
      </c>
      <c r="B290" s="284"/>
      <c r="C290" s="284"/>
      <c r="D290" s="34"/>
      <c r="E290" s="67" t="s">
        <v>122</v>
      </c>
      <c r="F290" s="71">
        <f>F289/1.33+1</f>
        <v>5.0451127819548871</v>
      </c>
      <c r="G290" s="63" t="s">
        <v>102</v>
      </c>
      <c r="H290" s="22">
        <v>0</v>
      </c>
      <c r="I290" s="49">
        <f t="shared" ref="I290:I291" si="487">IF(F290=0,"",F290+(F290*H290))</f>
        <v>5.0451127819548871</v>
      </c>
      <c r="J290" s="240">
        <f>1.26*14.5</f>
        <v>18.27</v>
      </c>
      <c r="K290" s="241">
        <f t="shared" ref="K290:K291" si="488">IF(F290=0,"",J290*I290)</f>
        <v>92.17421052631579</v>
      </c>
      <c r="L290" s="242">
        <f t="shared" ref="L290:L291" si="489">IF(F290=0,"",L$34)</f>
        <v>53.82</v>
      </c>
      <c r="M290" s="26">
        <f>0.052*14.5</f>
        <v>0.754</v>
      </c>
      <c r="N290" s="26">
        <f t="shared" ref="N290:N291" si="490">IF(F290=0,"",M290*I290)</f>
        <v>3.804015037593985</v>
      </c>
      <c r="O290" s="241">
        <f t="shared" ref="O290:O291" si="491">IF(F290=0,"",N290*L290)</f>
        <v>204.73208932330826</v>
      </c>
      <c r="P290" s="243">
        <f t="shared" ref="P290:P291" si="492">IF(F290=0,"",(K290+O290)/I290)</f>
        <v>58.850279999999991</v>
      </c>
      <c r="Q290" s="241">
        <f t="shared" ref="Q290:Q291" si="493">IF(F290=0,"",(P290*I290))</f>
        <v>296.90629984962402</v>
      </c>
      <c r="R290" s="121"/>
    </row>
    <row r="291" spans="1:18" x14ac:dyDescent="0.35">
      <c r="A291" s="69" t="str">
        <f>IF(TRIM(G291)&lt;&gt;"",COUNTA(G$11:$G291)&amp;"","")</f>
        <v>244</v>
      </c>
      <c r="B291" s="284"/>
      <c r="C291" s="284"/>
      <c r="D291" s="34"/>
      <c r="E291" s="228" t="s">
        <v>123</v>
      </c>
      <c r="F291" s="71">
        <f>F289</f>
        <v>5.38</v>
      </c>
      <c r="G291" s="63" t="s">
        <v>83</v>
      </c>
      <c r="H291" s="22">
        <v>0.1</v>
      </c>
      <c r="I291" s="49">
        <f t="shared" si="487"/>
        <v>5.9180000000000001</v>
      </c>
      <c r="J291" s="240">
        <v>1.26</v>
      </c>
      <c r="K291" s="241">
        <f t="shared" si="488"/>
        <v>7.4566800000000004</v>
      </c>
      <c r="L291" s="242">
        <f t="shared" si="489"/>
        <v>53.82</v>
      </c>
      <c r="M291" s="26">
        <v>5.1999999999999998E-2</v>
      </c>
      <c r="N291" s="26">
        <f t="shared" si="490"/>
        <v>0.30773600000000001</v>
      </c>
      <c r="O291" s="241">
        <f t="shared" si="491"/>
        <v>16.56235152</v>
      </c>
      <c r="P291" s="243">
        <f t="shared" si="492"/>
        <v>4.0586399999999996</v>
      </c>
      <c r="Q291" s="241">
        <f t="shared" si="493"/>
        <v>24.019031519999999</v>
      </c>
      <c r="R291" s="121"/>
    </row>
    <row r="292" spans="1:18" x14ac:dyDescent="0.35">
      <c r="A292" s="69" t="str">
        <f>IF(TRIM(G292)&lt;&gt;"",COUNTA(G$11:$G292)&amp;"","")</f>
        <v>245</v>
      </c>
      <c r="B292" s="284"/>
      <c r="C292" s="284"/>
      <c r="D292" s="34"/>
      <c r="E292" s="228" t="s">
        <v>124</v>
      </c>
      <c r="F292" s="71">
        <f>F289</f>
        <v>5.38</v>
      </c>
      <c r="G292" s="63" t="s">
        <v>83</v>
      </c>
      <c r="H292" s="22">
        <v>0.1</v>
      </c>
      <c r="I292" s="49">
        <f t="shared" ref="I292:I294" si="494">IF(F292=0,"",F292+(F292*H292))</f>
        <v>5.9180000000000001</v>
      </c>
      <c r="J292" s="240">
        <v>1.26</v>
      </c>
      <c r="K292" s="241">
        <f t="shared" ref="K292:K294" si="495">IF(F292=0,"",J292*I292)</f>
        <v>7.4566800000000004</v>
      </c>
      <c r="L292" s="242">
        <f t="shared" ref="L292:L294" si="496">IF(F292=0,"",L$34)</f>
        <v>53.82</v>
      </c>
      <c r="M292" s="26">
        <v>5.1999999999999998E-2</v>
      </c>
      <c r="N292" s="26">
        <f t="shared" ref="N292:N294" si="497">IF(F292=0,"",M292*I292)</f>
        <v>0.30773600000000001</v>
      </c>
      <c r="O292" s="241">
        <f t="shared" ref="O292:O294" si="498">IF(F292=0,"",N292*L292)</f>
        <v>16.56235152</v>
      </c>
      <c r="P292" s="243">
        <f t="shared" ref="P292:P294" si="499">IF(F292=0,"",(K292+O292)/I292)</f>
        <v>4.0586399999999996</v>
      </c>
      <c r="Q292" s="241">
        <f t="shared" ref="Q292:Q294" si="500">IF(F292=0,"",(P292*I292))</f>
        <v>24.019031519999999</v>
      </c>
      <c r="R292" s="121"/>
    </row>
    <row r="293" spans="1:18" x14ac:dyDescent="0.35">
      <c r="A293" s="69" t="str">
        <f>IF(TRIM(G293)&lt;&gt;"",COUNTA(G$11:$G293)&amp;"","")</f>
        <v>246</v>
      </c>
      <c r="B293" s="284"/>
      <c r="C293" s="284"/>
      <c r="D293" s="34"/>
      <c r="E293" s="228" t="s">
        <v>125</v>
      </c>
      <c r="F293" s="71">
        <f>(F289*14.5)+(F289*8.5)</f>
        <v>123.74000000000001</v>
      </c>
      <c r="G293" s="63" t="s">
        <v>69</v>
      </c>
      <c r="H293" s="22">
        <v>0.1</v>
      </c>
      <c r="I293" s="49">
        <f t="shared" si="494"/>
        <v>136.114</v>
      </c>
      <c r="J293" s="240">
        <v>0.62</v>
      </c>
      <c r="K293" s="241">
        <f t="shared" si="495"/>
        <v>84.390680000000003</v>
      </c>
      <c r="L293" s="242">
        <f t="shared" si="496"/>
        <v>53.82</v>
      </c>
      <c r="M293" s="26">
        <v>1.6E-2</v>
      </c>
      <c r="N293" s="26">
        <f t="shared" si="497"/>
        <v>2.1778240000000002</v>
      </c>
      <c r="O293" s="241">
        <f t="shared" si="498"/>
        <v>117.21048768000001</v>
      </c>
      <c r="P293" s="243">
        <f t="shared" si="499"/>
        <v>1.48112</v>
      </c>
      <c r="Q293" s="241">
        <f t="shared" si="500"/>
        <v>201.60116768</v>
      </c>
      <c r="R293" s="121"/>
    </row>
    <row r="294" spans="1:18" x14ac:dyDescent="0.35">
      <c r="A294" s="69" t="str">
        <f>IF(TRIM(G294)&lt;&gt;"",COUNTA(G$11:$G294)&amp;"","")</f>
        <v>247</v>
      </c>
      <c r="B294" s="284"/>
      <c r="C294" s="284"/>
      <c r="D294" s="34"/>
      <c r="E294" s="67" t="s">
        <v>108</v>
      </c>
      <c r="F294" s="71">
        <f>F289*4</f>
        <v>21.52</v>
      </c>
      <c r="G294" s="63" t="s">
        <v>83</v>
      </c>
      <c r="H294" s="22">
        <v>0.1</v>
      </c>
      <c r="I294" s="49">
        <f t="shared" si="494"/>
        <v>23.672000000000001</v>
      </c>
      <c r="J294" s="240">
        <v>0.2</v>
      </c>
      <c r="K294" s="241">
        <f t="shared" si="495"/>
        <v>4.7343999999999999</v>
      </c>
      <c r="L294" s="242">
        <f t="shared" si="496"/>
        <v>53.82</v>
      </c>
      <c r="M294" s="26">
        <v>1.6E-2</v>
      </c>
      <c r="N294" s="26">
        <f t="shared" si="497"/>
        <v>0.37875200000000003</v>
      </c>
      <c r="O294" s="241">
        <f t="shared" si="498"/>
        <v>20.384432640000004</v>
      </c>
      <c r="P294" s="243">
        <f t="shared" si="499"/>
        <v>1.0611200000000001</v>
      </c>
      <c r="Q294" s="241">
        <f t="shared" si="500"/>
        <v>25.118832640000001</v>
      </c>
      <c r="R294" s="121"/>
    </row>
    <row r="295" spans="1:18" x14ac:dyDescent="0.35">
      <c r="A295" s="69"/>
      <c r="B295" s="284"/>
      <c r="C295" s="284"/>
      <c r="D295" s="34"/>
      <c r="E295" s="67"/>
      <c r="F295" s="71"/>
      <c r="G295" s="72"/>
      <c r="H295" s="22"/>
      <c r="I295" s="49"/>
      <c r="J295" s="23"/>
      <c r="K295" s="24"/>
      <c r="L295" s="25"/>
      <c r="M295" s="26"/>
      <c r="N295" s="26"/>
      <c r="O295" s="24"/>
      <c r="P295" s="27"/>
      <c r="Q295" s="24"/>
      <c r="R295" s="121"/>
    </row>
    <row r="296" spans="1:18" x14ac:dyDescent="0.35">
      <c r="A296" s="69" t="str">
        <f>IF(TRIM(G296)&lt;&gt;"",COUNTA(G$11:$G296)&amp;"","")</f>
        <v>248</v>
      </c>
      <c r="B296" s="284"/>
      <c r="C296" s="284"/>
      <c r="D296" s="34"/>
      <c r="E296" s="233" t="s">
        <v>148</v>
      </c>
      <c r="F296" s="234">
        <v>16.46</v>
      </c>
      <c r="G296" s="238" t="s">
        <v>83</v>
      </c>
      <c r="H296" s="22"/>
      <c r="I296" s="49"/>
      <c r="J296" s="23"/>
      <c r="K296" s="24"/>
      <c r="L296" s="25"/>
      <c r="M296" s="26"/>
      <c r="N296" s="26"/>
      <c r="O296" s="24"/>
      <c r="P296" s="27"/>
      <c r="Q296" s="24"/>
      <c r="R296" s="121"/>
    </row>
    <row r="297" spans="1:18" x14ac:dyDescent="0.35">
      <c r="A297" s="69" t="str">
        <f>IF(TRIM(G297)&lt;&gt;"",COUNTA(G$11:$G297)&amp;"","")</f>
        <v>249</v>
      </c>
      <c r="B297" s="284"/>
      <c r="C297" s="284"/>
      <c r="D297" s="34"/>
      <c r="E297" s="67" t="s">
        <v>147</v>
      </c>
      <c r="F297" s="71">
        <f>F296/1.33+1</f>
        <v>13.375939849624061</v>
      </c>
      <c r="G297" s="63" t="s">
        <v>102</v>
      </c>
      <c r="H297" s="22">
        <v>0</v>
      </c>
      <c r="I297" s="49">
        <f t="shared" ref="I297:I298" si="501">IF(F297=0,"",F297+(F297*H297))</f>
        <v>13.375939849624061</v>
      </c>
      <c r="J297" s="240">
        <f>1.26*19</f>
        <v>23.94</v>
      </c>
      <c r="K297" s="241">
        <f t="shared" ref="K297:K298" si="502">IF(F297=0,"",J297*I297)</f>
        <v>320.22000000000003</v>
      </c>
      <c r="L297" s="242">
        <f t="shared" ref="L297:L298" si="503">IF(F297=0,"",L$34)</f>
        <v>53.82</v>
      </c>
      <c r="M297" s="26">
        <f>0.052*19</f>
        <v>0.98799999999999999</v>
      </c>
      <c r="N297" s="26">
        <f t="shared" ref="N297:N298" si="504">IF(F297=0,"",M297*I297)</f>
        <v>13.215428571428571</v>
      </c>
      <c r="O297" s="241">
        <f t="shared" ref="O297:O298" si="505">IF(F297=0,"",N297*L297)</f>
        <v>711.25436571428565</v>
      </c>
      <c r="P297" s="243">
        <f t="shared" ref="P297:P298" si="506">IF(F297=0,"",(K297+O297)/I297)</f>
        <v>77.114159999999998</v>
      </c>
      <c r="Q297" s="241">
        <f t="shared" ref="Q297:Q298" si="507">IF(F297=0,"",(P297*I297))</f>
        <v>1031.4743657142858</v>
      </c>
      <c r="R297" s="121"/>
    </row>
    <row r="298" spans="1:18" x14ac:dyDescent="0.35">
      <c r="A298" s="69" t="str">
        <f>IF(TRIM(G298)&lt;&gt;"",COUNTA(G$11:$G298)&amp;"","")</f>
        <v>250</v>
      </c>
      <c r="B298" s="284"/>
      <c r="C298" s="284"/>
      <c r="D298" s="34"/>
      <c r="E298" s="228" t="s">
        <v>123</v>
      </c>
      <c r="F298" s="71">
        <f>F296</f>
        <v>16.46</v>
      </c>
      <c r="G298" s="63" t="s">
        <v>83</v>
      </c>
      <c r="H298" s="22">
        <v>0.1</v>
      </c>
      <c r="I298" s="49">
        <f t="shared" si="501"/>
        <v>18.106000000000002</v>
      </c>
      <c r="J298" s="240">
        <v>1.26</v>
      </c>
      <c r="K298" s="241">
        <f t="shared" si="502"/>
        <v>22.813560000000003</v>
      </c>
      <c r="L298" s="242">
        <f t="shared" si="503"/>
        <v>53.82</v>
      </c>
      <c r="M298" s="26">
        <v>5.1999999999999998E-2</v>
      </c>
      <c r="N298" s="26">
        <f t="shared" si="504"/>
        <v>0.94151200000000002</v>
      </c>
      <c r="O298" s="241">
        <f t="shared" si="505"/>
        <v>50.672175840000001</v>
      </c>
      <c r="P298" s="243">
        <f t="shared" si="506"/>
        <v>4.0586399999999996</v>
      </c>
      <c r="Q298" s="241">
        <f t="shared" si="507"/>
        <v>73.485735840000004</v>
      </c>
      <c r="R298" s="121"/>
    </row>
    <row r="299" spans="1:18" x14ac:dyDescent="0.35">
      <c r="A299" s="69" t="str">
        <f>IF(TRIM(G299)&lt;&gt;"",COUNTA(G$11:$G299)&amp;"","")</f>
        <v>251</v>
      </c>
      <c r="B299" s="284"/>
      <c r="C299" s="284"/>
      <c r="D299" s="34"/>
      <c r="E299" s="228" t="s">
        <v>124</v>
      </c>
      <c r="F299" s="71">
        <f>F296</f>
        <v>16.46</v>
      </c>
      <c r="G299" s="63" t="s">
        <v>83</v>
      </c>
      <c r="H299" s="22">
        <v>0.1</v>
      </c>
      <c r="I299" s="49">
        <f t="shared" ref="I299:I302" si="508">IF(F299=0,"",F299+(F299*H299))</f>
        <v>18.106000000000002</v>
      </c>
      <c r="J299" s="240">
        <v>1.26</v>
      </c>
      <c r="K299" s="241">
        <f t="shared" ref="K299:K302" si="509">IF(F299=0,"",J299*I299)</f>
        <v>22.813560000000003</v>
      </c>
      <c r="L299" s="242">
        <f t="shared" ref="L299:L302" si="510">IF(F299=0,"",L$34)</f>
        <v>53.82</v>
      </c>
      <c r="M299" s="26">
        <v>5.1999999999999998E-2</v>
      </c>
      <c r="N299" s="26">
        <f t="shared" ref="N299:N302" si="511">IF(F299=0,"",M299*I299)</f>
        <v>0.94151200000000002</v>
      </c>
      <c r="O299" s="241">
        <f t="shared" ref="O299:O302" si="512">IF(F299=0,"",N299*L299)</f>
        <v>50.672175840000001</v>
      </c>
      <c r="P299" s="243">
        <f t="shared" ref="P299:P302" si="513">IF(F299=0,"",(K299+O299)/I299)</f>
        <v>4.0586399999999996</v>
      </c>
      <c r="Q299" s="241">
        <f t="shared" ref="Q299:Q302" si="514">IF(F299=0,"",(P299*I299))</f>
        <v>73.485735840000004</v>
      </c>
      <c r="R299" s="121"/>
    </row>
    <row r="300" spans="1:18" x14ac:dyDescent="0.35">
      <c r="A300" s="69" t="str">
        <f>IF(TRIM(G300)&lt;&gt;"",COUNTA(G$11:$G300)&amp;"","")</f>
        <v>252</v>
      </c>
      <c r="B300" s="284"/>
      <c r="C300" s="284"/>
      <c r="D300" s="34"/>
      <c r="E300" s="228" t="s">
        <v>125</v>
      </c>
      <c r="F300" s="71">
        <f>(F296*19)+(F296*8.5)</f>
        <v>452.65</v>
      </c>
      <c r="G300" s="63" t="s">
        <v>69</v>
      </c>
      <c r="H300" s="22">
        <v>0.1</v>
      </c>
      <c r="I300" s="49">
        <f t="shared" si="508"/>
        <v>497.91499999999996</v>
      </c>
      <c r="J300" s="240">
        <v>0.62</v>
      </c>
      <c r="K300" s="241">
        <f t="shared" si="509"/>
        <v>308.70729999999998</v>
      </c>
      <c r="L300" s="242">
        <f t="shared" si="510"/>
        <v>53.82</v>
      </c>
      <c r="M300" s="26">
        <v>1.6E-2</v>
      </c>
      <c r="N300" s="26">
        <f t="shared" si="511"/>
        <v>7.9666399999999999</v>
      </c>
      <c r="O300" s="241">
        <f t="shared" si="512"/>
        <v>428.76456480000002</v>
      </c>
      <c r="P300" s="243">
        <f t="shared" si="513"/>
        <v>1.4811200000000002</v>
      </c>
      <c r="Q300" s="241">
        <f t="shared" si="514"/>
        <v>737.47186480000005</v>
      </c>
      <c r="R300" s="121"/>
    </row>
    <row r="301" spans="1:18" x14ac:dyDescent="0.35">
      <c r="A301" s="69" t="str">
        <f>IF(TRIM(G301)&lt;&gt;"",COUNTA(G$11:$G301)&amp;"","")</f>
        <v>253</v>
      </c>
      <c r="B301" s="284"/>
      <c r="C301" s="284"/>
      <c r="D301" s="34"/>
      <c r="E301" s="228" t="s">
        <v>168</v>
      </c>
      <c r="F301" s="71">
        <f>F296*19</f>
        <v>312.74</v>
      </c>
      <c r="G301" s="63" t="s">
        <v>69</v>
      </c>
      <c r="H301" s="22">
        <v>0.1</v>
      </c>
      <c r="I301" s="49">
        <f t="shared" si="508"/>
        <v>344.01400000000001</v>
      </c>
      <c r="J301" s="240">
        <v>0.49</v>
      </c>
      <c r="K301" s="241">
        <f t="shared" si="509"/>
        <v>168.56685999999999</v>
      </c>
      <c r="L301" s="242">
        <f t="shared" si="510"/>
        <v>53.82</v>
      </c>
      <c r="M301" s="26">
        <v>0.01</v>
      </c>
      <c r="N301" s="26">
        <f t="shared" si="511"/>
        <v>3.44014</v>
      </c>
      <c r="O301" s="241">
        <f t="shared" si="512"/>
        <v>185.14833479999999</v>
      </c>
      <c r="P301" s="243">
        <f t="shared" si="513"/>
        <v>1.0281999999999998</v>
      </c>
      <c r="Q301" s="241">
        <f t="shared" si="514"/>
        <v>353.71519479999995</v>
      </c>
      <c r="R301" s="121"/>
    </row>
    <row r="302" spans="1:18" x14ac:dyDescent="0.35">
      <c r="A302" s="69" t="str">
        <f>IF(TRIM(G302)&lt;&gt;"",COUNTA(G$11:$G302)&amp;"","")</f>
        <v>254</v>
      </c>
      <c r="B302" s="284"/>
      <c r="C302" s="284"/>
      <c r="D302" s="34"/>
      <c r="E302" s="67" t="s">
        <v>108</v>
      </c>
      <c r="F302" s="71">
        <f>F296*4</f>
        <v>65.84</v>
      </c>
      <c r="G302" s="63" t="s">
        <v>83</v>
      </c>
      <c r="H302" s="22">
        <v>0.1</v>
      </c>
      <c r="I302" s="49">
        <f t="shared" si="508"/>
        <v>72.424000000000007</v>
      </c>
      <c r="J302" s="240">
        <v>0.2</v>
      </c>
      <c r="K302" s="241">
        <f t="shared" si="509"/>
        <v>14.484800000000002</v>
      </c>
      <c r="L302" s="242">
        <f t="shared" si="510"/>
        <v>53.82</v>
      </c>
      <c r="M302" s="26">
        <v>1.6E-2</v>
      </c>
      <c r="N302" s="26">
        <f t="shared" si="511"/>
        <v>1.158784</v>
      </c>
      <c r="O302" s="241">
        <f t="shared" si="512"/>
        <v>62.365754880000004</v>
      </c>
      <c r="P302" s="243">
        <f t="shared" si="513"/>
        <v>1.0611200000000001</v>
      </c>
      <c r="Q302" s="241">
        <f t="shared" si="514"/>
        <v>76.850554880000018</v>
      </c>
      <c r="R302" s="121"/>
    </row>
    <row r="303" spans="1:18" x14ac:dyDescent="0.35">
      <c r="A303" s="69" t="str">
        <f>IF(TRIM(G303)&lt;&gt;"",COUNTA(G$11:$G303)&amp;"","")</f>
        <v/>
      </c>
      <c r="B303" s="284"/>
      <c r="C303" s="284"/>
      <c r="D303" s="34"/>
      <c r="E303" s="67"/>
      <c r="F303" s="71"/>
      <c r="G303" s="63"/>
      <c r="H303" s="22"/>
      <c r="I303" s="49"/>
      <c r="J303" s="23"/>
      <c r="K303" s="24"/>
      <c r="L303" s="25"/>
      <c r="M303" s="26"/>
      <c r="N303" s="26"/>
      <c r="O303" s="24"/>
      <c r="P303" s="27"/>
      <c r="Q303" s="24"/>
      <c r="R303" s="121"/>
    </row>
    <row r="304" spans="1:18" x14ac:dyDescent="0.35">
      <c r="A304" s="69" t="str">
        <f>IF(TRIM(G304)&lt;&gt;"",COUNTA(G$11:$G304)&amp;"","")</f>
        <v>255</v>
      </c>
      <c r="B304" s="284"/>
      <c r="C304" s="284"/>
      <c r="D304" s="34"/>
      <c r="E304" s="233" t="s">
        <v>173</v>
      </c>
      <c r="F304" s="234">
        <v>6.7</v>
      </c>
      <c r="G304" s="238" t="s">
        <v>83</v>
      </c>
      <c r="H304" s="22"/>
      <c r="I304" s="49"/>
      <c r="J304" s="23"/>
      <c r="K304" s="24"/>
      <c r="L304" s="25"/>
      <c r="M304" s="26"/>
      <c r="N304" s="26"/>
      <c r="O304" s="24"/>
      <c r="P304" s="27"/>
      <c r="Q304" s="24"/>
      <c r="R304" s="121"/>
    </row>
    <row r="305" spans="1:18" x14ac:dyDescent="0.35">
      <c r="A305" s="69" t="str">
        <f>IF(TRIM(G305)&lt;&gt;"",COUNTA(G$11:$G305)&amp;"","")</f>
        <v>256</v>
      </c>
      <c r="B305" s="284"/>
      <c r="C305" s="284"/>
      <c r="D305" s="34"/>
      <c r="E305" s="67" t="s">
        <v>122</v>
      </c>
      <c r="F305" s="71">
        <f>F304/1.33+1</f>
        <v>6.0375939849624061</v>
      </c>
      <c r="G305" s="63" t="s">
        <v>102</v>
      </c>
      <c r="H305" s="22">
        <v>0</v>
      </c>
      <c r="I305" s="49">
        <f t="shared" ref="I305:I306" si="515">IF(F305=0,"",F305+(F305*H305))</f>
        <v>6.0375939849624061</v>
      </c>
      <c r="J305" s="240">
        <f>1.26*14.5</f>
        <v>18.27</v>
      </c>
      <c r="K305" s="241">
        <f t="shared" ref="K305:K306" si="516">IF(F305=0,"",J305*I305)</f>
        <v>110.30684210526316</v>
      </c>
      <c r="L305" s="242">
        <f t="shared" ref="L305:L306" si="517">IF(F305=0,"",L$34)</f>
        <v>53.82</v>
      </c>
      <c r="M305" s="26">
        <f>0.052*14.5</f>
        <v>0.754</v>
      </c>
      <c r="N305" s="26">
        <f t="shared" ref="N305:N306" si="518">IF(F305=0,"",M305*I305)</f>
        <v>4.5523458646616541</v>
      </c>
      <c r="O305" s="241">
        <f t="shared" ref="O305:O306" si="519">IF(F305=0,"",N305*L305)</f>
        <v>245.00725443609022</v>
      </c>
      <c r="P305" s="243">
        <f t="shared" ref="P305:P306" si="520">IF(F305=0,"",(K305+O305)/I305)</f>
        <v>58.850279999999998</v>
      </c>
      <c r="Q305" s="241">
        <f t="shared" ref="Q305:Q306" si="521">IF(F305=0,"",(P305*I305))</f>
        <v>355.31409654135336</v>
      </c>
      <c r="R305" s="121"/>
    </row>
    <row r="306" spans="1:18" x14ac:dyDescent="0.35">
      <c r="A306" s="69" t="str">
        <f>IF(TRIM(G306)&lt;&gt;"",COUNTA(G$11:$G306)&amp;"","")</f>
        <v>257</v>
      </c>
      <c r="B306" s="284"/>
      <c r="C306" s="284"/>
      <c r="D306" s="34"/>
      <c r="E306" s="228" t="s">
        <v>123</v>
      </c>
      <c r="F306" s="71">
        <f>F304</f>
        <v>6.7</v>
      </c>
      <c r="G306" s="63" t="s">
        <v>83</v>
      </c>
      <c r="H306" s="22">
        <v>0.1</v>
      </c>
      <c r="I306" s="49">
        <f t="shared" si="515"/>
        <v>7.37</v>
      </c>
      <c r="J306" s="240">
        <v>1.26</v>
      </c>
      <c r="K306" s="241">
        <f t="shared" si="516"/>
        <v>9.2862000000000009</v>
      </c>
      <c r="L306" s="242">
        <f t="shared" si="517"/>
        <v>53.82</v>
      </c>
      <c r="M306" s="26">
        <v>5.1999999999999998E-2</v>
      </c>
      <c r="N306" s="26">
        <f t="shared" si="518"/>
        <v>0.38323999999999997</v>
      </c>
      <c r="O306" s="241">
        <f t="shared" si="519"/>
        <v>20.6259768</v>
      </c>
      <c r="P306" s="243">
        <f t="shared" si="520"/>
        <v>4.0586400000000005</v>
      </c>
      <c r="Q306" s="241">
        <f t="shared" si="521"/>
        <v>29.912176800000005</v>
      </c>
      <c r="R306" s="121"/>
    </row>
    <row r="307" spans="1:18" x14ac:dyDescent="0.35">
      <c r="A307" s="69" t="str">
        <f>IF(TRIM(G307)&lt;&gt;"",COUNTA(G$11:$G307)&amp;"","")</f>
        <v>258</v>
      </c>
      <c r="B307" s="284"/>
      <c r="C307" s="284"/>
      <c r="D307" s="34"/>
      <c r="E307" s="228" t="s">
        <v>124</v>
      </c>
      <c r="F307" s="71">
        <f>F304</f>
        <v>6.7</v>
      </c>
      <c r="G307" s="63" t="s">
        <v>83</v>
      </c>
      <c r="H307" s="22">
        <v>0.1</v>
      </c>
      <c r="I307" s="49">
        <f t="shared" ref="I307:I309" si="522">IF(F307=0,"",F307+(F307*H307))</f>
        <v>7.37</v>
      </c>
      <c r="J307" s="240">
        <v>1.26</v>
      </c>
      <c r="K307" s="241">
        <f t="shared" ref="K307:K309" si="523">IF(F307=0,"",J307*I307)</f>
        <v>9.2862000000000009</v>
      </c>
      <c r="L307" s="242">
        <f t="shared" ref="L307:L309" si="524">IF(F307=0,"",L$34)</f>
        <v>53.82</v>
      </c>
      <c r="M307" s="26">
        <v>5.1999999999999998E-2</v>
      </c>
      <c r="N307" s="26">
        <f t="shared" ref="N307:N309" si="525">IF(F307=0,"",M307*I307)</f>
        <v>0.38323999999999997</v>
      </c>
      <c r="O307" s="241">
        <f t="shared" ref="O307:O309" si="526">IF(F307=0,"",N307*L307)</f>
        <v>20.6259768</v>
      </c>
      <c r="P307" s="243">
        <f t="shared" ref="P307:P309" si="527">IF(F307=0,"",(K307+O307)/I307)</f>
        <v>4.0586400000000005</v>
      </c>
      <c r="Q307" s="241">
        <f t="shared" ref="Q307:Q309" si="528">IF(F307=0,"",(P307*I307))</f>
        <v>29.912176800000005</v>
      </c>
      <c r="R307" s="121"/>
    </row>
    <row r="308" spans="1:18" x14ac:dyDescent="0.35">
      <c r="A308" s="69" t="str">
        <f>IF(TRIM(G308)&lt;&gt;"",COUNTA(G$11:$G308)&amp;"","")</f>
        <v>259</v>
      </c>
      <c r="B308" s="284"/>
      <c r="C308" s="284"/>
      <c r="D308" s="34"/>
      <c r="E308" s="228" t="s">
        <v>125</v>
      </c>
      <c r="F308" s="71">
        <f>(F304*14.5)+(F304*8.5)</f>
        <v>154.10000000000002</v>
      </c>
      <c r="G308" s="63" t="s">
        <v>69</v>
      </c>
      <c r="H308" s="22">
        <v>0.1</v>
      </c>
      <c r="I308" s="49">
        <f t="shared" si="522"/>
        <v>169.51000000000002</v>
      </c>
      <c r="J308" s="240">
        <v>0.62</v>
      </c>
      <c r="K308" s="241">
        <f t="shared" si="523"/>
        <v>105.09620000000001</v>
      </c>
      <c r="L308" s="242">
        <f t="shared" si="524"/>
        <v>53.82</v>
      </c>
      <c r="M308" s="26">
        <v>1.6E-2</v>
      </c>
      <c r="N308" s="26">
        <f t="shared" si="525"/>
        <v>2.7121600000000003</v>
      </c>
      <c r="O308" s="241">
        <f t="shared" si="526"/>
        <v>145.96845120000003</v>
      </c>
      <c r="P308" s="243">
        <f t="shared" si="527"/>
        <v>1.48112</v>
      </c>
      <c r="Q308" s="241">
        <f t="shared" si="528"/>
        <v>251.06465120000001</v>
      </c>
      <c r="R308" s="121"/>
    </row>
    <row r="309" spans="1:18" x14ac:dyDescent="0.35">
      <c r="A309" s="69" t="str">
        <f>IF(TRIM(G309)&lt;&gt;"",COUNTA(G$11:$G309)&amp;"","")</f>
        <v>260</v>
      </c>
      <c r="B309" s="284"/>
      <c r="C309" s="284"/>
      <c r="D309" s="34"/>
      <c r="E309" s="67" t="s">
        <v>108</v>
      </c>
      <c r="F309" s="71">
        <f>F304*4</f>
        <v>26.8</v>
      </c>
      <c r="G309" s="63" t="s">
        <v>83</v>
      </c>
      <c r="H309" s="22">
        <v>0.1</v>
      </c>
      <c r="I309" s="49">
        <f t="shared" si="522"/>
        <v>29.48</v>
      </c>
      <c r="J309" s="240">
        <v>0.2</v>
      </c>
      <c r="K309" s="241">
        <f t="shared" si="523"/>
        <v>5.8960000000000008</v>
      </c>
      <c r="L309" s="242">
        <f t="shared" si="524"/>
        <v>53.82</v>
      </c>
      <c r="M309" s="26">
        <v>1.6E-2</v>
      </c>
      <c r="N309" s="26">
        <f t="shared" si="525"/>
        <v>0.47168000000000004</v>
      </c>
      <c r="O309" s="241">
        <f t="shared" si="526"/>
        <v>25.385817600000003</v>
      </c>
      <c r="P309" s="243">
        <f t="shared" si="527"/>
        <v>1.0611200000000001</v>
      </c>
      <c r="Q309" s="241">
        <f t="shared" si="528"/>
        <v>31.281817600000004</v>
      </c>
      <c r="R309" s="121"/>
    </row>
    <row r="310" spans="1:18" x14ac:dyDescent="0.35">
      <c r="A310" s="69"/>
      <c r="B310" s="284"/>
      <c r="C310" s="284"/>
      <c r="D310" s="34"/>
      <c r="E310" s="67"/>
      <c r="F310" s="71"/>
      <c r="G310" s="72"/>
      <c r="H310" s="22"/>
      <c r="I310" s="49"/>
      <c r="J310" s="23"/>
      <c r="K310" s="24"/>
      <c r="L310" s="25"/>
      <c r="M310" s="26"/>
      <c r="N310" s="26"/>
      <c r="O310" s="24"/>
      <c r="P310" s="27"/>
      <c r="Q310" s="24"/>
      <c r="R310" s="121"/>
    </row>
    <row r="311" spans="1:18" x14ac:dyDescent="0.35">
      <c r="A311" s="69" t="str">
        <f>IF(TRIM(G311)&lt;&gt;"",COUNTA(G$11:$G311)&amp;"","")</f>
        <v>261</v>
      </c>
      <c r="B311" s="284"/>
      <c r="C311" s="284"/>
      <c r="D311" s="34"/>
      <c r="E311" s="233" t="s">
        <v>193</v>
      </c>
      <c r="F311" s="234">
        <v>3.18</v>
      </c>
      <c r="G311" s="239" t="s">
        <v>83</v>
      </c>
      <c r="H311" s="22"/>
      <c r="I311" s="49"/>
      <c r="J311" s="23"/>
      <c r="K311" s="24"/>
      <c r="L311" s="25"/>
      <c r="M311" s="26"/>
      <c r="N311" s="26"/>
      <c r="O311" s="24"/>
      <c r="P311" s="27"/>
      <c r="Q311" s="24"/>
      <c r="R311" s="121"/>
    </row>
    <row r="312" spans="1:18" x14ac:dyDescent="0.35">
      <c r="A312" s="69" t="str">
        <f>IF(TRIM(G312)&lt;&gt;"",COUNTA(G$11:$G312)&amp;"","")</f>
        <v>262</v>
      </c>
      <c r="B312" s="284"/>
      <c r="C312" s="284"/>
      <c r="D312" s="34"/>
      <c r="E312" s="67" t="s">
        <v>152</v>
      </c>
      <c r="F312" s="71">
        <f>F311/1.33+1</f>
        <v>3.3909774436090228</v>
      </c>
      <c r="G312" s="72" t="s">
        <v>102</v>
      </c>
      <c r="H312" s="22">
        <v>0</v>
      </c>
      <c r="I312" s="49">
        <f t="shared" ref="I312:I313" si="529">IF(F312=0,"",F312+(F312*H312))</f>
        <v>3.3909774436090228</v>
      </c>
      <c r="J312" s="240">
        <f>1.26*12</f>
        <v>15.120000000000001</v>
      </c>
      <c r="K312" s="241">
        <f t="shared" ref="K312:K313" si="530">IF(F312=0,"",J312*I312)</f>
        <v>51.271578947368425</v>
      </c>
      <c r="L312" s="242">
        <f t="shared" ref="L312:L313" si="531">IF(F312=0,"",L$34)</f>
        <v>53.82</v>
      </c>
      <c r="M312" s="26">
        <f>0.052*12</f>
        <v>0.624</v>
      </c>
      <c r="N312" s="26">
        <f t="shared" ref="N312:N313" si="532">IF(F312=0,"",M312*I312)</f>
        <v>2.1159699248120303</v>
      </c>
      <c r="O312" s="241">
        <f t="shared" ref="O312:O313" si="533">IF(F312=0,"",N312*L312)</f>
        <v>113.88150135338347</v>
      </c>
      <c r="P312" s="243">
        <f t="shared" ref="P312:P313" si="534">IF(F312=0,"",(K312+O312)/I312)</f>
        <v>48.703679999999999</v>
      </c>
      <c r="Q312" s="241">
        <f t="shared" ref="Q312:Q313" si="535">IF(F312=0,"",(P312*I312))</f>
        <v>165.1530803007519</v>
      </c>
      <c r="R312" s="121"/>
    </row>
    <row r="313" spans="1:18" x14ac:dyDescent="0.35">
      <c r="A313" s="69" t="str">
        <f>IF(TRIM(G313)&lt;&gt;"",COUNTA(G$11:$G313)&amp;"","")</f>
        <v>263</v>
      </c>
      <c r="B313" s="284"/>
      <c r="C313" s="284"/>
      <c r="D313" s="34"/>
      <c r="E313" s="228" t="s">
        <v>123</v>
      </c>
      <c r="F313" s="71">
        <f>F311</f>
        <v>3.18</v>
      </c>
      <c r="G313" s="72" t="s">
        <v>83</v>
      </c>
      <c r="H313" s="22">
        <v>0.1</v>
      </c>
      <c r="I313" s="49">
        <f t="shared" si="529"/>
        <v>3.4980000000000002</v>
      </c>
      <c r="J313" s="240">
        <v>1.26</v>
      </c>
      <c r="K313" s="241">
        <f t="shared" si="530"/>
        <v>4.4074800000000005</v>
      </c>
      <c r="L313" s="242">
        <f t="shared" si="531"/>
        <v>53.82</v>
      </c>
      <c r="M313" s="26">
        <v>5.1999999999999998E-2</v>
      </c>
      <c r="N313" s="26">
        <f t="shared" si="532"/>
        <v>0.181896</v>
      </c>
      <c r="O313" s="241">
        <f t="shared" si="533"/>
        <v>9.7896427199999998</v>
      </c>
      <c r="P313" s="243">
        <f t="shared" si="534"/>
        <v>4.0586399999999996</v>
      </c>
      <c r="Q313" s="241">
        <f t="shared" si="535"/>
        <v>14.197122719999999</v>
      </c>
      <c r="R313" s="121"/>
    </row>
    <row r="314" spans="1:18" x14ac:dyDescent="0.35">
      <c r="A314" s="69" t="str">
        <f>IF(TRIM(G314)&lt;&gt;"",COUNTA(G$11:$G314)&amp;"","")</f>
        <v>264</v>
      </c>
      <c r="B314" s="284"/>
      <c r="C314" s="284"/>
      <c r="D314" s="34"/>
      <c r="E314" s="228" t="s">
        <v>124</v>
      </c>
      <c r="F314" s="71">
        <f>F311</f>
        <v>3.18</v>
      </c>
      <c r="G314" s="72" t="s">
        <v>83</v>
      </c>
      <c r="H314" s="22">
        <v>0.1</v>
      </c>
      <c r="I314" s="49">
        <f t="shared" ref="I314:I318" si="536">IF(F314=0,"",F314+(F314*H314))</f>
        <v>3.4980000000000002</v>
      </c>
      <c r="J314" s="240">
        <v>1.26</v>
      </c>
      <c r="K314" s="241">
        <f t="shared" ref="K314:K318" si="537">IF(F314=0,"",J314*I314)</f>
        <v>4.4074800000000005</v>
      </c>
      <c r="L314" s="242">
        <f t="shared" ref="L314:L316" si="538">IF(F314=0,"",L$34)</f>
        <v>53.82</v>
      </c>
      <c r="M314" s="26">
        <v>5.1999999999999998E-2</v>
      </c>
      <c r="N314" s="26">
        <f t="shared" ref="N314:N318" si="539">IF(F314=0,"",M314*I314)</f>
        <v>0.181896</v>
      </c>
      <c r="O314" s="241">
        <f t="shared" ref="O314:O318" si="540">IF(F314=0,"",N314*L314)</f>
        <v>9.7896427199999998</v>
      </c>
      <c r="P314" s="243">
        <f t="shared" ref="P314:P318" si="541">IF(F314=0,"",(K314+O314)/I314)</f>
        <v>4.0586399999999996</v>
      </c>
      <c r="Q314" s="241">
        <f t="shared" ref="Q314:Q318" si="542">IF(F314=0,"",(P314*I314))</f>
        <v>14.197122719999999</v>
      </c>
      <c r="R314" s="121"/>
    </row>
    <row r="315" spans="1:18" x14ac:dyDescent="0.35">
      <c r="A315" s="69" t="str">
        <f>IF(TRIM(G315)&lt;&gt;"",COUNTA(G$11:$G315)&amp;"","")</f>
        <v>265</v>
      </c>
      <c r="B315" s="284"/>
      <c r="C315" s="284"/>
      <c r="D315" s="34"/>
      <c r="E315" s="228" t="s">
        <v>153</v>
      </c>
      <c r="F315" s="71">
        <f>(F311*12)/2</f>
        <v>19.080000000000002</v>
      </c>
      <c r="G315" s="72" t="s">
        <v>83</v>
      </c>
      <c r="H315" s="22">
        <v>0.1</v>
      </c>
      <c r="I315" s="49">
        <f t="shared" si="536"/>
        <v>20.988000000000003</v>
      </c>
      <c r="J315" s="240">
        <v>1.26</v>
      </c>
      <c r="K315" s="241">
        <f t="shared" si="537"/>
        <v>26.444880000000005</v>
      </c>
      <c r="L315" s="242">
        <f t="shared" si="538"/>
        <v>53.82</v>
      </c>
      <c r="M315" s="26">
        <v>5.1999999999999998E-2</v>
      </c>
      <c r="N315" s="26">
        <f t="shared" si="539"/>
        <v>1.0913760000000001</v>
      </c>
      <c r="O315" s="241">
        <f t="shared" si="540"/>
        <v>58.737856320000006</v>
      </c>
      <c r="P315" s="243">
        <f t="shared" si="541"/>
        <v>4.0586399999999996</v>
      </c>
      <c r="Q315" s="241">
        <f t="shared" si="542"/>
        <v>85.182736320000004</v>
      </c>
      <c r="R315" s="121"/>
    </row>
    <row r="316" spans="1:18" x14ac:dyDescent="0.35">
      <c r="A316" s="69" t="str">
        <f>IF(TRIM(G316)&lt;&gt;"",COUNTA(G$11:$G316)&amp;"","")</f>
        <v>266</v>
      </c>
      <c r="B316" s="284"/>
      <c r="C316" s="284"/>
      <c r="D316" s="34"/>
      <c r="E316" s="228" t="s">
        <v>125</v>
      </c>
      <c r="F316" s="71">
        <f>(F311*8*2)</f>
        <v>50.88</v>
      </c>
      <c r="G316" s="72" t="s">
        <v>69</v>
      </c>
      <c r="H316" s="22">
        <v>0.1</v>
      </c>
      <c r="I316" s="49">
        <f t="shared" si="536"/>
        <v>55.968000000000004</v>
      </c>
      <c r="J316" s="240">
        <v>0.62</v>
      </c>
      <c r="K316" s="241">
        <f t="shared" si="537"/>
        <v>34.700160000000004</v>
      </c>
      <c r="L316" s="242">
        <f t="shared" si="538"/>
        <v>53.82</v>
      </c>
      <c r="M316" s="26">
        <v>1.6E-2</v>
      </c>
      <c r="N316" s="26">
        <f t="shared" si="539"/>
        <v>0.89548800000000006</v>
      </c>
      <c r="O316" s="241">
        <f t="shared" si="540"/>
        <v>48.195164160000004</v>
      </c>
      <c r="P316" s="243">
        <f t="shared" si="541"/>
        <v>1.48112</v>
      </c>
      <c r="Q316" s="241">
        <f t="shared" si="542"/>
        <v>82.895324160000001</v>
      </c>
      <c r="R316" s="121"/>
    </row>
    <row r="317" spans="1:18" x14ac:dyDescent="0.35">
      <c r="A317" s="69" t="str">
        <f>IF(TRIM(G317)&lt;&gt;"",COUNTA(G$11:$G317)&amp;"","")</f>
        <v>267</v>
      </c>
      <c r="B317" s="284"/>
      <c r="C317" s="284"/>
      <c r="D317" s="34"/>
      <c r="E317" s="228" t="s">
        <v>155</v>
      </c>
      <c r="F317" s="71">
        <f>F311*8</f>
        <v>25.44</v>
      </c>
      <c r="G317" s="72" t="s">
        <v>69</v>
      </c>
      <c r="H317" s="22">
        <v>0.1</v>
      </c>
      <c r="I317" s="49">
        <f t="shared" si="536"/>
        <v>27.984000000000002</v>
      </c>
      <c r="J317" s="240">
        <v>0.49</v>
      </c>
      <c r="K317" s="241">
        <f t="shared" si="537"/>
        <v>13.712160000000001</v>
      </c>
      <c r="L317" s="242">
        <f t="shared" ref="L317:L318" si="543">IF(F317=0,"",L$34)</f>
        <v>53.82</v>
      </c>
      <c r="M317" s="26">
        <v>0.01</v>
      </c>
      <c r="N317" s="26">
        <f t="shared" si="539"/>
        <v>0.27984000000000003</v>
      </c>
      <c r="O317" s="241">
        <f t="shared" si="540"/>
        <v>15.060988800000002</v>
      </c>
      <c r="P317" s="243">
        <f t="shared" si="541"/>
        <v>1.0282</v>
      </c>
      <c r="Q317" s="241">
        <f t="shared" si="542"/>
        <v>28.773148800000001</v>
      </c>
      <c r="R317" s="121"/>
    </row>
    <row r="318" spans="1:18" x14ac:dyDescent="0.35">
      <c r="A318" s="69" t="str">
        <f>IF(TRIM(G318)&lt;&gt;"",COUNTA(G$11:$G318)&amp;"","")</f>
        <v>268</v>
      </c>
      <c r="B318" s="284"/>
      <c r="C318" s="284"/>
      <c r="D318" s="34"/>
      <c r="E318" s="67" t="s">
        <v>108</v>
      </c>
      <c r="F318" s="71">
        <f>F311*4</f>
        <v>12.72</v>
      </c>
      <c r="G318" s="72" t="s">
        <v>83</v>
      </c>
      <c r="H318" s="22">
        <v>0.1</v>
      </c>
      <c r="I318" s="49">
        <f t="shared" si="536"/>
        <v>13.992000000000001</v>
      </c>
      <c r="J318" s="240">
        <v>0.2</v>
      </c>
      <c r="K318" s="241">
        <f t="shared" si="537"/>
        <v>2.7984000000000004</v>
      </c>
      <c r="L318" s="242">
        <f t="shared" si="543"/>
        <v>53.82</v>
      </c>
      <c r="M318" s="26">
        <v>1.6E-2</v>
      </c>
      <c r="N318" s="26">
        <f t="shared" si="539"/>
        <v>0.22387200000000002</v>
      </c>
      <c r="O318" s="241">
        <f t="shared" si="540"/>
        <v>12.048791040000001</v>
      </c>
      <c r="P318" s="243">
        <f t="shared" si="541"/>
        <v>1.0611200000000001</v>
      </c>
      <c r="Q318" s="241">
        <f t="shared" si="542"/>
        <v>14.847191040000002</v>
      </c>
      <c r="R318" s="121"/>
    </row>
    <row r="319" spans="1:18" x14ac:dyDescent="0.35">
      <c r="A319" s="69" t="str">
        <f>IF(TRIM(G319)&lt;&gt;"",COUNTA(G$11:$G349)&amp;"","")</f>
        <v/>
      </c>
      <c r="B319" s="284"/>
      <c r="C319" s="284"/>
      <c r="D319" s="34"/>
      <c r="E319" s="67"/>
      <c r="F319" s="71"/>
      <c r="G319" s="72"/>
      <c r="H319" s="22"/>
      <c r="I319" s="49"/>
      <c r="J319" s="23"/>
      <c r="K319" s="24"/>
      <c r="L319" s="25"/>
      <c r="M319" s="26"/>
      <c r="N319" s="26"/>
      <c r="O319" s="24"/>
      <c r="P319" s="27"/>
      <c r="Q319" s="24"/>
      <c r="R319" s="121"/>
    </row>
    <row r="320" spans="1:18" x14ac:dyDescent="0.35">
      <c r="A320" s="69" t="str">
        <f>IF(TRIM(G320)&lt;&gt;"",COUNTA(G$11:$G320)&amp;"","")</f>
        <v>269</v>
      </c>
      <c r="B320" s="284"/>
      <c r="C320" s="284"/>
      <c r="D320" s="34"/>
      <c r="E320" s="233" t="s">
        <v>184</v>
      </c>
      <c r="F320" s="234">
        <v>5.42</v>
      </c>
      <c r="G320" s="239" t="s">
        <v>83</v>
      </c>
      <c r="H320" s="22"/>
      <c r="I320" s="49"/>
      <c r="J320" s="23"/>
      <c r="K320" s="24"/>
      <c r="L320" s="25"/>
      <c r="M320" s="26"/>
      <c r="N320" s="26"/>
      <c r="O320" s="24"/>
      <c r="P320" s="27"/>
      <c r="Q320" s="24"/>
      <c r="R320" s="121"/>
    </row>
    <row r="321" spans="1:18" x14ac:dyDescent="0.35">
      <c r="A321" s="69" t="str">
        <f>IF(TRIM(G321)&lt;&gt;"",COUNTA(G$11:$G321)&amp;"","")</f>
        <v>270</v>
      </c>
      <c r="B321" s="284"/>
      <c r="C321" s="284"/>
      <c r="D321" s="34"/>
      <c r="E321" s="67" t="s">
        <v>186</v>
      </c>
      <c r="F321" s="71">
        <f>F320/1.33+1</f>
        <v>5.0751879699248121</v>
      </c>
      <c r="G321" s="72" t="s">
        <v>102</v>
      </c>
      <c r="H321" s="22">
        <v>0</v>
      </c>
      <c r="I321" s="49">
        <f t="shared" ref="I321:I322" si="544">IF(F321=0,"",F321+(F321*H321))</f>
        <v>5.0751879699248121</v>
      </c>
      <c r="J321" s="240">
        <f>1.69*24</f>
        <v>40.56</v>
      </c>
      <c r="K321" s="241">
        <f t="shared" ref="K321:K322" si="545">IF(F321=0,"",J321*I321)</f>
        <v>205.8496240601504</v>
      </c>
      <c r="L321" s="242">
        <f t="shared" ref="L321:L322" si="546">IF(F321=0,"",L$34)</f>
        <v>53.82</v>
      </c>
      <c r="M321" s="26">
        <f>24*0.0656</f>
        <v>1.5744000000000002</v>
      </c>
      <c r="N321" s="26">
        <f t="shared" ref="N321:N322" si="547">IF(F321=0,"",M321*I321)</f>
        <v>7.9903759398496259</v>
      </c>
      <c r="O321" s="241">
        <f t="shared" ref="O321:O322" si="548">IF(F321=0,"",N321*L321)</f>
        <v>430.04203308270689</v>
      </c>
      <c r="P321" s="243">
        <f t="shared" ref="P321:P322" si="549">IF(F321=0,"",(K321+O321)/I321)</f>
        <v>125.29420800000003</v>
      </c>
      <c r="Q321" s="241">
        <f t="shared" ref="Q321:Q322" si="550">IF(F321=0,"",(P321*I321))</f>
        <v>635.8916571428573</v>
      </c>
      <c r="R321" s="121"/>
    </row>
    <row r="322" spans="1:18" x14ac:dyDescent="0.35">
      <c r="A322" s="69" t="str">
        <f>IF(TRIM(G322)&lt;&gt;"",COUNTA(G$11:$G322)&amp;"","")</f>
        <v>271</v>
      </c>
      <c r="B322" s="284"/>
      <c r="C322" s="284"/>
      <c r="D322" s="34"/>
      <c r="E322" s="228" t="s">
        <v>145</v>
      </c>
      <c r="F322" s="71">
        <f>F320</f>
        <v>5.42</v>
      </c>
      <c r="G322" s="72" t="s">
        <v>83</v>
      </c>
      <c r="H322" s="22">
        <v>0.1</v>
      </c>
      <c r="I322" s="49">
        <f t="shared" si="544"/>
        <v>5.9619999999999997</v>
      </c>
      <c r="J322" s="240">
        <v>1.69</v>
      </c>
      <c r="K322" s="241">
        <f t="shared" si="545"/>
        <v>10.07578</v>
      </c>
      <c r="L322" s="242">
        <f t="shared" si="546"/>
        <v>53.82</v>
      </c>
      <c r="M322" s="26">
        <v>6.5600000000000006E-2</v>
      </c>
      <c r="N322" s="26">
        <f t="shared" si="547"/>
        <v>0.39110720000000004</v>
      </c>
      <c r="O322" s="241">
        <f t="shared" si="548"/>
        <v>21.049389504000004</v>
      </c>
      <c r="P322" s="243">
        <f t="shared" si="549"/>
        <v>5.2205920000000008</v>
      </c>
      <c r="Q322" s="241">
        <f t="shared" si="550"/>
        <v>31.125169504000002</v>
      </c>
      <c r="R322" s="121"/>
    </row>
    <row r="323" spans="1:18" x14ac:dyDescent="0.35">
      <c r="A323" s="69" t="str">
        <f>IF(TRIM(G323)&lt;&gt;"",COUNTA(G$11:$G323)&amp;"","")</f>
        <v>272</v>
      </c>
      <c r="B323" s="284"/>
      <c r="C323" s="284"/>
      <c r="D323" s="34"/>
      <c r="E323" s="228" t="s">
        <v>146</v>
      </c>
      <c r="F323" s="71">
        <f>F320</f>
        <v>5.42</v>
      </c>
      <c r="G323" s="72" t="s">
        <v>83</v>
      </c>
      <c r="H323" s="22">
        <v>0.1</v>
      </c>
      <c r="I323" s="49">
        <f t="shared" ref="I323" si="551">IF(F323=0,"",F323+(F323*H323))</f>
        <v>5.9619999999999997</v>
      </c>
      <c r="J323" s="240">
        <v>1.69</v>
      </c>
      <c r="K323" s="241">
        <f t="shared" ref="K323" si="552">IF(F323=0,"",J323*I323)</f>
        <v>10.07578</v>
      </c>
      <c r="L323" s="242">
        <f t="shared" ref="L323" si="553">IF(F323=0,"",L$34)</f>
        <v>53.82</v>
      </c>
      <c r="M323" s="26">
        <v>6.5600000000000006E-2</v>
      </c>
      <c r="N323" s="26">
        <f t="shared" ref="N323" si="554">IF(F323=0,"",M323*I323)</f>
        <v>0.39110720000000004</v>
      </c>
      <c r="O323" s="241">
        <f t="shared" ref="O323" si="555">IF(F323=0,"",N323*L323)</f>
        <v>21.049389504000004</v>
      </c>
      <c r="P323" s="243">
        <f t="shared" ref="P323" si="556">IF(F323=0,"",(K323+O323)/I323)</f>
        <v>5.2205920000000008</v>
      </c>
      <c r="Q323" s="241">
        <f t="shared" ref="Q323" si="557">IF(F323=0,"",(P323*I323))</f>
        <v>31.125169504000002</v>
      </c>
      <c r="R323" s="121"/>
    </row>
    <row r="324" spans="1:18" x14ac:dyDescent="0.35">
      <c r="A324" s="69" t="str">
        <f>IF(TRIM(G324)&lt;&gt;"",COUNTA(G$11:$G324)&amp;"","")</f>
        <v>273</v>
      </c>
      <c r="B324" s="284"/>
      <c r="C324" s="284"/>
      <c r="D324" s="34"/>
      <c r="E324" s="228" t="s">
        <v>125</v>
      </c>
      <c r="F324" s="71">
        <f>(F320*14.5)+(F320*8)</f>
        <v>121.95</v>
      </c>
      <c r="G324" s="72" t="s">
        <v>69</v>
      </c>
      <c r="H324" s="22">
        <v>0.1</v>
      </c>
      <c r="I324" s="49">
        <f t="shared" ref="I324:I327" si="558">IF(F324=0,"",F324+(F324*H324))</f>
        <v>134.14500000000001</v>
      </c>
      <c r="J324" s="240">
        <v>0.62</v>
      </c>
      <c r="K324" s="241">
        <f t="shared" ref="K324:K327" si="559">IF(F324=0,"",J324*I324)</f>
        <v>83.169900000000013</v>
      </c>
      <c r="L324" s="242">
        <f t="shared" ref="L324:L327" si="560">IF(F324=0,"",L$34)</f>
        <v>53.82</v>
      </c>
      <c r="M324" s="26">
        <v>1.6E-2</v>
      </c>
      <c r="N324" s="26">
        <f t="shared" ref="N324:N327" si="561">IF(F324=0,"",M324*I324)</f>
        <v>2.1463200000000002</v>
      </c>
      <c r="O324" s="241">
        <f t="shared" ref="O324:O327" si="562">IF(F324=0,"",N324*L324)</f>
        <v>115.51494240000001</v>
      </c>
      <c r="P324" s="243">
        <f t="shared" ref="P324:P327" si="563">IF(F324=0,"",(K324+O324)/I324)</f>
        <v>1.4811200000000002</v>
      </c>
      <c r="Q324" s="241">
        <f t="shared" ref="Q324:Q327" si="564">IF(F324=0,"",(P324*I324))</f>
        <v>198.68484240000004</v>
      </c>
      <c r="R324" s="121"/>
    </row>
    <row r="325" spans="1:18" x14ac:dyDescent="0.35">
      <c r="A325" s="69" t="str">
        <f>IF(TRIM(G325)&lt;&gt;"",COUNTA(G$11:$G325)&amp;"","")</f>
        <v>274</v>
      </c>
      <c r="B325" s="284"/>
      <c r="C325" s="284"/>
      <c r="D325" s="34"/>
      <c r="E325" s="67" t="s">
        <v>149</v>
      </c>
      <c r="F325" s="71">
        <f>(F320*4)</f>
        <v>21.68</v>
      </c>
      <c r="G325" s="72" t="s">
        <v>69</v>
      </c>
      <c r="H325" s="22">
        <v>0.1</v>
      </c>
      <c r="I325" s="49">
        <f t="shared" si="558"/>
        <v>23.847999999999999</v>
      </c>
      <c r="J325" s="240">
        <f>17.4/32</f>
        <v>0.54374999999999996</v>
      </c>
      <c r="K325" s="241">
        <f t="shared" si="559"/>
        <v>12.967349999999998</v>
      </c>
      <c r="L325" s="242">
        <f t="shared" si="560"/>
        <v>53.82</v>
      </c>
      <c r="M325" s="26">
        <v>1.6E-2</v>
      </c>
      <c r="N325" s="26">
        <f t="shared" si="561"/>
        <v>0.38156800000000002</v>
      </c>
      <c r="O325" s="241">
        <f t="shared" si="562"/>
        <v>20.53598976</v>
      </c>
      <c r="P325" s="243">
        <f t="shared" si="563"/>
        <v>1.4048699999999998</v>
      </c>
      <c r="Q325" s="241">
        <f t="shared" si="564"/>
        <v>33.503339759999996</v>
      </c>
      <c r="R325" s="121"/>
    </row>
    <row r="326" spans="1:18" x14ac:dyDescent="0.35">
      <c r="A326" s="69" t="str">
        <f>IF(TRIM(G326)&lt;&gt;"",COUNTA(G$11:$G326)&amp;"","")</f>
        <v>275</v>
      </c>
      <c r="B326" s="284"/>
      <c r="C326" s="284"/>
      <c r="D326" s="34"/>
      <c r="E326" s="228" t="s">
        <v>162</v>
      </c>
      <c r="F326" s="71">
        <f>F320*14.5</f>
        <v>78.59</v>
      </c>
      <c r="G326" s="72" t="s">
        <v>69</v>
      </c>
      <c r="H326" s="22">
        <v>0.1</v>
      </c>
      <c r="I326" s="49">
        <f t="shared" si="558"/>
        <v>86.448999999999998</v>
      </c>
      <c r="J326" s="240">
        <v>0.49</v>
      </c>
      <c r="K326" s="241">
        <f t="shared" si="559"/>
        <v>42.360009999999996</v>
      </c>
      <c r="L326" s="242">
        <f t="shared" si="560"/>
        <v>53.82</v>
      </c>
      <c r="M326" s="26">
        <v>0.01</v>
      </c>
      <c r="N326" s="26">
        <f t="shared" si="561"/>
        <v>0.86448999999999998</v>
      </c>
      <c r="O326" s="241">
        <f t="shared" si="562"/>
        <v>46.526851799999996</v>
      </c>
      <c r="P326" s="243">
        <f t="shared" si="563"/>
        <v>1.0282</v>
      </c>
      <c r="Q326" s="241">
        <f t="shared" si="564"/>
        <v>88.886861799999991</v>
      </c>
      <c r="R326" s="121"/>
    </row>
    <row r="327" spans="1:18" x14ac:dyDescent="0.35">
      <c r="A327" s="69" t="str">
        <f>IF(TRIM(G327)&lt;&gt;"",COUNTA(G$11:$G327)&amp;"","")</f>
        <v>276</v>
      </c>
      <c r="B327" s="284"/>
      <c r="C327" s="284"/>
      <c r="D327" s="34"/>
      <c r="E327" s="67" t="s">
        <v>108</v>
      </c>
      <c r="F327" s="71">
        <f>F320*4</f>
        <v>21.68</v>
      </c>
      <c r="G327" s="72" t="s">
        <v>83</v>
      </c>
      <c r="H327" s="22">
        <v>0.1</v>
      </c>
      <c r="I327" s="49">
        <f t="shared" si="558"/>
        <v>23.847999999999999</v>
      </c>
      <c r="J327" s="240">
        <v>0.2</v>
      </c>
      <c r="K327" s="241">
        <f t="shared" si="559"/>
        <v>4.7695999999999996</v>
      </c>
      <c r="L327" s="242">
        <f t="shared" si="560"/>
        <v>53.82</v>
      </c>
      <c r="M327" s="26">
        <v>1.6E-2</v>
      </c>
      <c r="N327" s="26">
        <f t="shared" si="561"/>
        <v>0.38156800000000002</v>
      </c>
      <c r="O327" s="241">
        <f t="shared" si="562"/>
        <v>20.53598976</v>
      </c>
      <c r="P327" s="243">
        <f t="shared" si="563"/>
        <v>1.0611200000000001</v>
      </c>
      <c r="Q327" s="241">
        <f t="shared" si="564"/>
        <v>25.30558976</v>
      </c>
      <c r="R327" s="121"/>
    </row>
    <row r="328" spans="1:18" x14ac:dyDescent="0.35">
      <c r="A328" s="69" t="str">
        <f>IF(TRIM(G328)&lt;&gt;"",COUNTA(G$11:$G328)&amp;"","")</f>
        <v/>
      </c>
      <c r="B328" s="284"/>
      <c r="C328" s="284"/>
      <c r="D328" s="34"/>
      <c r="E328" s="67"/>
      <c r="F328" s="71"/>
      <c r="G328" s="72"/>
      <c r="H328" s="22"/>
      <c r="I328" s="49"/>
      <c r="J328" s="23"/>
      <c r="K328" s="24"/>
      <c r="L328" s="25"/>
      <c r="M328" s="26"/>
      <c r="N328" s="26"/>
      <c r="O328" s="24"/>
      <c r="P328" s="27"/>
      <c r="Q328" s="24"/>
      <c r="R328" s="121"/>
    </row>
    <row r="329" spans="1:18" x14ac:dyDescent="0.35">
      <c r="A329" s="69" t="str">
        <f>IF(TRIM(G329)&lt;&gt;"",COUNTA(G$11:$G329)&amp;"","")</f>
        <v>277</v>
      </c>
      <c r="B329" s="284"/>
      <c r="C329" s="284"/>
      <c r="D329" s="34"/>
      <c r="E329" s="233" t="s">
        <v>188</v>
      </c>
      <c r="F329" s="234">
        <v>11.26</v>
      </c>
      <c r="G329" s="239" t="s">
        <v>83</v>
      </c>
      <c r="H329" s="22"/>
      <c r="I329" s="49"/>
      <c r="J329" s="23"/>
      <c r="K329" s="24"/>
      <c r="L329" s="25"/>
      <c r="M329" s="26"/>
      <c r="N329" s="26"/>
      <c r="O329" s="24"/>
      <c r="P329" s="27"/>
      <c r="Q329" s="24"/>
      <c r="R329" s="121"/>
    </row>
    <row r="330" spans="1:18" x14ac:dyDescent="0.35">
      <c r="A330" s="69" t="str">
        <f>IF(TRIM(G330)&lt;&gt;"",COUNTA(G$11:$G330)&amp;"","")</f>
        <v>278</v>
      </c>
      <c r="B330" s="284"/>
      <c r="C330" s="284"/>
      <c r="D330" s="34"/>
      <c r="E330" s="67" t="s">
        <v>186</v>
      </c>
      <c r="F330" s="71">
        <f>F329/1.33+1</f>
        <v>9.4661654135338331</v>
      </c>
      <c r="G330" s="72" t="s">
        <v>102</v>
      </c>
      <c r="H330" s="22">
        <v>0</v>
      </c>
      <c r="I330" s="49">
        <f t="shared" ref="I330:I331" si="565">IF(F330=0,"",F330+(F330*H330))</f>
        <v>9.4661654135338331</v>
      </c>
      <c r="J330" s="240">
        <f>1.69*24</f>
        <v>40.56</v>
      </c>
      <c r="K330" s="241">
        <f t="shared" ref="K330:K331" si="566">IF(F330=0,"",J330*I330)</f>
        <v>383.94766917293231</v>
      </c>
      <c r="L330" s="242">
        <f t="shared" ref="L330:L331" si="567">IF(F330=0,"",L$34)</f>
        <v>53.82</v>
      </c>
      <c r="M330" s="26">
        <f>24*0.0656</f>
        <v>1.5744000000000002</v>
      </c>
      <c r="N330" s="26">
        <f t="shared" ref="N330:N331" si="568">IF(F330=0,"",M330*I330)</f>
        <v>14.903530827067669</v>
      </c>
      <c r="O330" s="241">
        <f t="shared" ref="O330:O331" si="569">IF(F330=0,"",N330*L330)</f>
        <v>802.10802911278199</v>
      </c>
      <c r="P330" s="243">
        <f t="shared" ref="P330:P331" si="570">IF(F330=0,"",(K330+O330)/I330)</f>
        <v>125.29420800000001</v>
      </c>
      <c r="Q330" s="241">
        <f t="shared" ref="Q330:Q331" si="571">IF(F330=0,"",(P330*I330))</f>
        <v>1186.0556982857142</v>
      </c>
      <c r="R330" s="121"/>
    </row>
    <row r="331" spans="1:18" x14ac:dyDescent="0.35">
      <c r="A331" s="69" t="str">
        <f>IF(TRIM(G331)&lt;&gt;"",COUNTA(G$11:$G331)&amp;"","")</f>
        <v>279</v>
      </c>
      <c r="B331" s="284"/>
      <c r="C331" s="284"/>
      <c r="D331" s="34"/>
      <c r="E331" s="228" t="s">
        <v>145</v>
      </c>
      <c r="F331" s="71">
        <f>F329</f>
        <v>11.26</v>
      </c>
      <c r="G331" s="72" t="s">
        <v>83</v>
      </c>
      <c r="H331" s="22">
        <v>0.1</v>
      </c>
      <c r="I331" s="49">
        <f t="shared" si="565"/>
        <v>12.385999999999999</v>
      </c>
      <c r="J331" s="240">
        <v>1.69</v>
      </c>
      <c r="K331" s="241">
        <f t="shared" si="566"/>
        <v>20.932339999999996</v>
      </c>
      <c r="L331" s="242">
        <f t="shared" si="567"/>
        <v>53.82</v>
      </c>
      <c r="M331" s="26">
        <v>6.5600000000000006E-2</v>
      </c>
      <c r="N331" s="26">
        <f t="shared" si="568"/>
        <v>0.81252160000000007</v>
      </c>
      <c r="O331" s="241">
        <f t="shared" si="569"/>
        <v>43.729912512000006</v>
      </c>
      <c r="P331" s="243">
        <f t="shared" si="570"/>
        <v>5.2205920000000008</v>
      </c>
      <c r="Q331" s="241">
        <f t="shared" si="571"/>
        <v>64.662252512000009</v>
      </c>
      <c r="R331" s="121"/>
    </row>
    <row r="332" spans="1:18" x14ac:dyDescent="0.35">
      <c r="A332" s="69" t="str">
        <f>IF(TRIM(G332)&lt;&gt;"",COUNTA(G$11:$G332)&amp;"","")</f>
        <v>280</v>
      </c>
      <c r="B332" s="284"/>
      <c r="C332" s="284"/>
      <c r="D332" s="34"/>
      <c r="E332" s="228" t="s">
        <v>146</v>
      </c>
      <c r="F332" s="71">
        <f>F329</f>
        <v>11.26</v>
      </c>
      <c r="G332" s="72" t="s">
        <v>83</v>
      </c>
      <c r="H332" s="22">
        <v>0.1</v>
      </c>
      <c r="I332" s="49">
        <f t="shared" ref="I332:I335" si="572">IF(F332=0,"",F332+(F332*H332))</f>
        <v>12.385999999999999</v>
      </c>
      <c r="J332" s="240">
        <v>1.69</v>
      </c>
      <c r="K332" s="241">
        <f t="shared" ref="K332:K335" si="573">IF(F332=0,"",J332*I332)</f>
        <v>20.932339999999996</v>
      </c>
      <c r="L332" s="242">
        <f t="shared" ref="L332:L335" si="574">IF(F332=0,"",L$34)</f>
        <v>53.82</v>
      </c>
      <c r="M332" s="26">
        <v>6.5600000000000006E-2</v>
      </c>
      <c r="N332" s="26">
        <f t="shared" ref="N332:N335" si="575">IF(F332=0,"",M332*I332)</f>
        <v>0.81252160000000007</v>
      </c>
      <c r="O332" s="241">
        <f t="shared" ref="O332:O335" si="576">IF(F332=0,"",N332*L332)</f>
        <v>43.729912512000006</v>
      </c>
      <c r="P332" s="243">
        <f t="shared" ref="P332:P335" si="577">IF(F332=0,"",(K332+O332)/I332)</f>
        <v>5.2205920000000008</v>
      </c>
      <c r="Q332" s="241">
        <f t="shared" ref="Q332:Q335" si="578">IF(F332=0,"",(P332*I332))</f>
        <v>64.662252512000009</v>
      </c>
      <c r="R332" s="121"/>
    </row>
    <row r="333" spans="1:18" x14ac:dyDescent="0.35">
      <c r="A333" s="69" t="str">
        <f>IF(TRIM(G333)&lt;&gt;"",COUNTA(G$11:$G333)&amp;"","")</f>
        <v>281</v>
      </c>
      <c r="B333" s="284"/>
      <c r="C333" s="284"/>
      <c r="D333" s="34"/>
      <c r="E333" s="228" t="s">
        <v>125</v>
      </c>
      <c r="F333" s="71">
        <f>(F329*8*2)</f>
        <v>180.16</v>
      </c>
      <c r="G333" s="72" t="s">
        <v>69</v>
      </c>
      <c r="H333" s="22">
        <v>0.1</v>
      </c>
      <c r="I333" s="49">
        <f t="shared" si="572"/>
        <v>198.17599999999999</v>
      </c>
      <c r="J333" s="240">
        <v>0.62</v>
      </c>
      <c r="K333" s="241">
        <f t="shared" si="573"/>
        <v>122.86912</v>
      </c>
      <c r="L333" s="242">
        <f t="shared" si="574"/>
        <v>53.82</v>
      </c>
      <c r="M333" s="26">
        <v>1.6E-2</v>
      </c>
      <c r="N333" s="26">
        <f t="shared" si="575"/>
        <v>3.1708159999999999</v>
      </c>
      <c r="O333" s="241">
        <f t="shared" si="576"/>
        <v>170.65331712</v>
      </c>
      <c r="P333" s="243">
        <f t="shared" si="577"/>
        <v>1.4811200000000002</v>
      </c>
      <c r="Q333" s="241">
        <f t="shared" si="578"/>
        <v>293.52243712000001</v>
      </c>
      <c r="R333" s="121"/>
    </row>
    <row r="334" spans="1:18" x14ac:dyDescent="0.35">
      <c r="A334" s="69" t="str">
        <f>IF(TRIM(G334)&lt;&gt;"",COUNTA(G$11:$G334)&amp;"","")</f>
        <v>282</v>
      </c>
      <c r="B334" s="284"/>
      <c r="C334" s="284"/>
      <c r="D334" s="34"/>
      <c r="E334" s="228" t="s">
        <v>189</v>
      </c>
      <c r="F334" s="71">
        <f>F329*14.5</f>
        <v>163.27000000000001</v>
      </c>
      <c r="G334" s="72" t="s">
        <v>69</v>
      </c>
      <c r="H334" s="22">
        <v>0.1</v>
      </c>
      <c r="I334" s="49">
        <f t="shared" si="572"/>
        <v>179.59700000000001</v>
      </c>
      <c r="J334" s="240">
        <v>0.49</v>
      </c>
      <c r="K334" s="241">
        <f t="shared" si="573"/>
        <v>88.002530000000007</v>
      </c>
      <c r="L334" s="242">
        <f t="shared" si="574"/>
        <v>53.82</v>
      </c>
      <c r="M334" s="26">
        <v>0.01</v>
      </c>
      <c r="N334" s="26">
        <f t="shared" si="575"/>
        <v>1.7959700000000001</v>
      </c>
      <c r="O334" s="241">
        <f t="shared" si="576"/>
        <v>96.659105400000001</v>
      </c>
      <c r="P334" s="243">
        <f t="shared" si="577"/>
        <v>1.0282</v>
      </c>
      <c r="Q334" s="241">
        <f t="shared" si="578"/>
        <v>184.66163540000002</v>
      </c>
      <c r="R334" s="121"/>
    </row>
    <row r="335" spans="1:18" x14ac:dyDescent="0.35">
      <c r="A335" s="69" t="str">
        <f>IF(TRIM(G335)&lt;&gt;"",COUNTA(G$11:$G335)&amp;"","")</f>
        <v>283</v>
      </c>
      <c r="B335" s="284"/>
      <c r="C335" s="284"/>
      <c r="D335" s="34"/>
      <c r="E335" s="67" t="s">
        <v>108</v>
      </c>
      <c r="F335" s="71">
        <f>F329*4</f>
        <v>45.04</v>
      </c>
      <c r="G335" s="72" t="s">
        <v>83</v>
      </c>
      <c r="H335" s="22">
        <v>0.1</v>
      </c>
      <c r="I335" s="49">
        <f t="shared" si="572"/>
        <v>49.543999999999997</v>
      </c>
      <c r="J335" s="240">
        <v>0.2</v>
      </c>
      <c r="K335" s="241">
        <f t="shared" si="573"/>
        <v>9.9087999999999994</v>
      </c>
      <c r="L335" s="242">
        <f t="shared" si="574"/>
        <v>53.82</v>
      </c>
      <c r="M335" s="26">
        <v>1.6E-2</v>
      </c>
      <c r="N335" s="26">
        <f t="shared" si="575"/>
        <v>0.79270399999999996</v>
      </c>
      <c r="O335" s="241">
        <f t="shared" si="576"/>
        <v>42.663329279999999</v>
      </c>
      <c r="P335" s="243">
        <f t="shared" si="577"/>
        <v>1.0611200000000001</v>
      </c>
      <c r="Q335" s="241">
        <f t="shared" si="578"/>
        <v>52.572129279999999</v>
      </c>
      <c r="R335" s="121"/>
    </row>
    <row r="336" spans="1:18" x14ac:dyDescent="0.35">
      <c r="A336" s="69" t="str">
        <f>IF(TRIM(G336)&lt;&gt;"",COUNTA(G$11:$G336)&amp;"","")</f>
        <v/>
      </c>
      <c r="B336" s="284"/>
      <c r="C336" s="284"/>
      <c r="D336" s="34"/>
      <c r="E336" s="67"/>
      <c r="F336" s="71"/>
      <c r="G336" s="72"/>
      <c r="H336" s="22"/>
      <c r="I336" s="49"/>
      <c r="J336" s="23"/>
      <c r="K336" s="24"/>
      <c r="L336" s="25"/>
      <c r="M336" s="26"/>
      <c r="N336" s="26"/>
      <c r="O336" s="24"/>
      <c r="P336" s="27"/>
      <c r="Q336" s="24"/>
      <c r="R336" s="121"/>
    </row>
    <row r="337" spans="1:18" x14ac:dyDescent="0.35">
      <c r="A337" s="69" t="str">
        <f>IF(TRIM(G337)&lt;&gt;"",COUNTA(G$11:$G337)&amp;"","")</f>
        <v>284</v>
      </c>
      <c r="B337" s="284"/>
      <c r="C337" s="284"/>
      <c r="D337" s="34"/>
      <c r="E337" s="233" t="s">
        <v>141</v>
      </c>
      <c r="F337" s="234">
        <v>4.8</v>
      </c>
      <c r="G337" s="238" t="s">
        <v>83</v>
      </c>
      <c r="H337" s="22"/>
      <c r="I337" s="49"/>
      <c r="J337" s="23"/>
      <c r="K337" s="24"/>
      <c r="L337" s="25"/>
      <c r="M337" s="26"/>
      <c r="N337" s="26"/>
      <c r="O337" s="24"/>
      <c r="P337" s="27"/>
      <c r="Q337" s="24"/>
      <c r="R337" s="121"/>
    </row>
    <row r="338" spans="1:18" x14ac:dyDescent="0.35">
      <c r="A338" s="69" t="str">
        <f>IF(TRIM(G338)&lt;&gt;"",COUNTA(G$11:$G338)&amp;"","")</f>
        <v>285</v>
      </c>
      <c r="B338" s="284"/>
      <c r="C338" s="284"/>
      <c r="D338" s="34"/>
      <c r="E338" s="67" t="s">
        <v>144</v>
      </c>
      <c r="F338" s="71">
        <f>F337/1.33+1</f>
        <v>4.6090225563909772</v>
      </c>
      <c r="G338" s="63" t="s">
        <v>102</v>
      </c>
      <c r="H338" s="22">
        <v>0</v>
      </c>
      <c r="I338" s="49">
        <f t="shared" ref="I338:I339" si="579">IF(F338=0,"",F338+(F338*H338))</f>
        <v>4.6090225563909772</v>
      </c>
      <c r="J338" s="240">
        <f>1.69*24</f>
        <v>40.56</v>
      </c>
      <c r="K338" s="241">
        <f t="shared" ref="K338:K339" si="580">IF(F338=0,"",J338*I338)</f>
        <v>186.94195488721806</v>
      </c>
      <c r="L338" s="242">
        <f t="shared" ref="L338:L339" si="581">IF(F338=0,"",L$34)</f>
        <v>53.82</v>
      </c>
      <c r="M338" s="26">
        <f>24*0.0656</f>
        <v>1.5744000000000002</v>
      </c>
      <c r="N338" s="26">
        <f t="shared" ref="N338:N339" si="582">IF(F338=0,"",M338*I338)</f>
        <v>7.2564451127819556</v>
      </c>
      <c r="O338" s="241">
        <f t="shared" ref="O338:O339" si="583">IF(F338=0,"",N338*L338)</f>
        <v>390.54187596992483</v>
      </c>
      <c r="P338" s="243">
        <f t="shared" ref="P338:P339" si="584">IF(F338=0,"",(K338+O338)/I338)</f>
        <v>125.29420800000003</v>
      </c>
      <c r="Q338" s="241">
        <f t="shared" ref="Q338:Q339" si="585">IF(F338=0,"",(P338*I338))</f>
        <v>577.48383085714295</v>
      </c>
      <c r="R338" s="121"/>
    </row>
    <row r="339" spans="1:18" x14ac:dyDescent="0.35">
      <c r="A339" s="69" t="str">
        <f>IF(TRIM(G339)&lt;&gt;"",COUNTA(G$11:$G339)&amp;"","")</f>
        <v>286</v>
      </c>
      <c r="B339" s="284"/>
      <c r="C339" s="284"/>
      <c r="D339" s="34"/>
      <c r="E339" s="228" t="s">
        <v>145</v>
      </c>
      <c r="F339" s="71">
        <f>F337</f>
        <v>4.8</v>
      </c>
      <c r="G339" s="63" t="s">
        <v>83</v>
      </c>
      <c r="H339" s="22">
        <v>0.1</v>
      </c>
      <c r="I339" s="49">
        <f t="shared" si="579"/>
        <v>5.2799999999999994</v>
      </c>
      <c r="J339" s="240">
        <v>1.69</v>
      </c>
      <c r="K339" s="241">
        <f t="shared" si="580"/>
        <v>8.9231999999999978</v>
      </c>
      <c r="L339" s="242">
        <f t="shared" si="581"/>
        <v>53.82</v>
      </c>
      <c r="M339" s="26">
        <v>6.5600000000000006E-2</v>
      </c>
      <c r="N339" s="26">
        <f t="shared" si="582"/>
        <v>0.34636800000000001</v>
      </c>
      <c r="O339" s="241">
        <f t="shared" si="583"/>
        <v>18.64152576</v>
      </c>
      <c r="P339" s="243">
        <f t="shared" si="584"/>
        <v>5.2205919999999999</v>
      </c>
      <c r="Q339" s="241">
        <f t="shared" si="585"/>
        <v>27.564725759999995</v>
      </c>
      <c r="R339" s="121"/>
    </row>
    <row r="340" spans="1:18" x14ac:dyDescent="0.35">
      <c r="A340" s="69" t="str">
        <f>IF(TRIM(G340)&lt;&gt;"",COUNTA(G$11:$G340)&amp;"","")</f>
        <v>287</v>
      </c>
      <c r="B340" s="284"/>
      <c r="C340" s="284"/>
      <c r="D340" s="34"/>
      <c r="E340" s="228" t="s">
        <v>146</v>
      </c>
      <c r="F340" s="71">
        <f>F337</f>
        <v>4.8</v>
      </c>
      <c r="G340" s="63" t="s">
        <v>83</v>
      </c>
      <c r="H340" s="22">
        <v>0.1</v>
      </c>
      <c r="I340" s="49">
        <f t="shared" ref="I340:I348" si="586">IF(F340=0,"",F340+(F340*H340))</f>
        <v>5.2799999999999994</v>
      </c>
      <c r="J340" s="240">
        <v>1.69</v>
      </c>
      <c r="K340" s="241">
        <f t="shared" ref="K340:K348" si="587">IF(F340=0,"",J340*I340)</f>
        <v>8.9231999999999978</v>
      </c>
      <c r="L340" s="242">
        <f t="shared" ref="L340" si="588">IF(F340=0,"",L$34)</f>
        <v>53.82</v>
      </c>
      <c r="M340" s="26">
        <v>6.5600000000000006E-2</v>
      </c>
      <c r="N340" s="26">
        <f t="shared" ref="N340:N348" si="589">IF(F340=0,"",M340*I340)</f>
        <v>0.34636800000000001</v>
      </c>
      <c r="O340" s="241">
        <f t="shared" ref="O340:O348" si="590">IF(F340=0,"",N340*L340)</f>
        <v>18.64152576</v>
      </c>
      <c r="P340" s="243">
        <f t="shared" ref="P340:P348" si="591">IF(F340=0,"",(K340+O340)/I340)</f>
        <v>5.2205919999999999</v>
      </c>
      <c r="Q340" s="241">
        <f t="shared" ref="Q340:Q348" si="592">IF(F340=0,"",(P340*I340))</f>
        <v>27.564725759999995</v>
      </c>
      <c r="R340" s="121"/>
    </row>
    <row r="341" spans="1:18" x14ac:dyDescent="0.35">
      <c r="A341" s="69" t="str">
        <f>IF(TRIM(G341)&lt;&gt;"",COUNTA(G$11:$G341)&amp;"","")</f>
        <v>288</v>
      </c>
      <c r="B341" s="284"/>
      <c r="C341" s="284"/>
      <c r="D341" s="34"/>
      <c r="E341" s="228" t="s">
        <v>125</v>
      </c>
      <c r="F341" s="71">
        <f>(F337*13.5)+(F337*8)</f>
        <v>103.19999999999999</v>
      </c>
      <c r="G341" s="63" t="s">
        <v>69</v>
      </c>
      <c r="H341" s="22">
        <v>0.1</v>
      </c>
      <c r="I341" s="49">
        <f t="shared" si="586"/>
        <v>113.51999999999998</v>
      </c>
      <c r="J341" s="240">
        <v>0.62</v>
      </c>
      <c r="K341" s="241">
        <f t="shared" si="587"/>
        <v>70.38239999999999</v>
      </c>
      <c r="L341" s="242">
        <f t="shared" ref="L341" si="593">IF(F341=0,"",L$34)</f>
        <v>53.82</v>
      </c>
      <c r="M341" s="26">
        <v>1.6E-2</v>
      </c>
      <c r="N341" s="26">
        <f t="shared" si="589"/>
        <v>1.8163199999999997</v>
      </c>
      <c r="O341" s="241">
        <f t="shared" si="590"/>
        <v>97.754342399999985</v>
      </c>
      <c r="P341" s="243">
        <f t="shared" si="591"/>
        <v>1.48112</v>
      </c>
      <c r="Q341" s="241">
        <f t="shared" si="592"/>
        <v>168.13674239999997</v>
      </c>
      <c r="R341" s="121"/>
    </row>
    <row r="342" spans="1:18" x14ac:dyDescent="0.35">
      <c r="A342" s="69" t="str">
        <f>IF(TRIM(G342)&lt;&gt;"",COUNTA(G$11:$G342)&amp;"","")</f>
        <v>289</v>
      </c>
      <c r="B342" s="284"/>
      <c r="C342" s="284"/>
      <c r="D342" s="34"/>
      <c r="E342" s="67" t="s">
        <v>126</v>
      </c>
      <c r="F342" s="71">
        <f>(F337*13.5)</f>
        <v>64.8</v>
      </c>
      <c r="G342" s="63" t="s">
        <v>69</v>
      </c>
      <c r="H342" s="22">
        <v>0.1</v>
      </c>
      <c r="I342" s="49">
        <f t="shared" si="586"/>
        <v>71.28</v>
      </c>
      <c r="J342" s="240">
        <f>25.39/32</f>
        <v>0.79343750000000002</v>
      </c>
      <c r="K342" s="241">
        <f t="shared" si="587"/>
        <v>56.556225000000005</v>
      </c>
      <c r="L342" s="242">
        <f t="shared" ref="L342" si="594">IF(F342=0,"",L$34)</f>
        <v>53.82</v>
      </c>
      <c r="M342" s="26">
        <v>1.6E-2</v>
      </c>
      <c r="N342" s="26">
        <f t="shared" si="589"/>
        <v>1.1404799999999999</v>
      </c>
      <c r="O342" s="241">
        <f t="shared" si="590"/>
        <v>61.380633599999996</v>
      </c>
      <c r="P342" s="243">
        <f t="shared" si="591"/>
        <v>1.6545574999999999</v>
      </c>
      <c r="Q342" s="241">
        <f t="shared" si="592"/>
        <v>117.93685859999999</v>
      </c>
      <c r="R342" s="121"/>
    </row>
    <row r="343" spans="1:18" x14ac:dyDescent="0.35">
      <c r="A343" s="69" t="str">
        <f>IF(TRIM(G343)&lt;&gt;"",COUNTA(G$11:$G343)&amp;"","")</f>
        <v>290</v>
      </c>
      <c r="B343" s="284"/>
      <c r="C343" s="284"/>
      <c r="D343" s="34"/>
      <c r="E343" s="228" t="s">
        <v>163</v>
      </c>
      <c r="F343" s="71">
        <f>F337</f>
        <v>4.8</v>
      </c>
      <c r="G343" s="63" t="s">
        <v>83</v>
      </c>
      <c r="H343" s="22">
        <v>0.1</v>
      </c>
      <c r="I343" s="49">
        <f t="shared" si="586"/>
        <v>5.2799999999999994</v>
      </c>
      <c r="J343" s="240">
        <v>0.85</v>
      </c>
      <c r="K343" s="241">
        <f t="shared" si="587"/>
        <v>4.4879999999999995</v>
      </c>
      <c r="L343" s="242">
        <f t="shared" ref="L343:L344" si="595">IF(F343=0,"",L$34)</f>
        <v>53.82</v>
      </c>
      <c r="M343" s="26">
        <v>0.02</v>
      </c>
      <c r="N343" s="26">
        <f t="shared" si="589"/>
        <v>0.10559999999999999</v>
      </c>
      <c r="O343" s="241">
        <f t="shared" si="590"/>
        <v>5.6833919999999996</v>
      </c>
      <c r="P343" s="243">
        <f t="shared" si="591"/>
        <v>1.9264000000000001</v>
      </c>
      <c r="Q343" s="241">
        <f t="shared" si="592"/>
        <v>10.171391999999999</v>
      </c>
      <c r="R343" s="121"/>
    </row>
    <row r="344" spans="1:18" x14ac:dyDescent="0.35">
      <c r="A344" s="69" t="str">
        <f>IF(TRIM(G344)&lt;&gt;"",COUNTA(G$11:$G344)&amp;"","")</f>
        <v>291</v>
      </c>
      <c r="B344" s="284"/>
      <c r="C344" s="284"/>
      <c r="D344" s="34"/>
      <c r="E344" s="228" t="s">
        <v>164</v>
      </c>
      <c r="F344" s="71">
        <f>F337</f>
        <v>4.8</v>
      </c>
      <c r="G344" s="63" t="s">
        <v>83</v>
      </c>
      <c r="H344" s="22">
        <v>0.1</v>
      </c>
      <c r="I344" s="49">
        <f t="shared" si="586"/>
        <v>5.2799999999999994</v>
      </c>
      <c r="J344" s="240">
        <f>26.69/16</f>
        <v>1.6681250000000001</v>
      </c>
      <c r="K344" s="241">
        <f t="shared" si="587"/>
        <v>8.8076999999999988</v>
      </c>
      <c r="L344" s="242">
        <f t="shared" si="595"/>
        <v>53.82</v>
      </c>
      <c r="M344" s="26">
        <v>2.4E-2</v>
      </c>
      <c r="N344" s="26">
        <f t="shared" si="589"/>
        <v>0.12672</v>
      </c>
      <c r="O344" s="241">
        <f t="shared" si="590"/>
        <v>6.8200703999999996</v>
      </c>
      <c r="P344" s="243">
        <f t="shared" si="591"/>
        <v>2.9598050000000002</v>
      </c>
      <c r="Q344" s="241">
        <f t="shared" si="592"/>
        <v>15.627770399999999</v>
      </c>
      <c r="R344" s="121"/>
    </row>
    <row r="345" spans="1:18" x14ac:dyDescent="0.35">
      <c r="A345" s="69" t="str">
        <f>IF(TRIM(G345)&lt;&gt;"",COUNTA(G$11:$G345)&amp;"","")</f>
        <v>292</v>
      </c>
      <c r="B345" s="284"/>
      <c r="C345" s="284"/>
      <c r="D345" s="34"/>
      <c r="E345" s="228" t="s">
        <v>165</v>
      </c>
      <c r="F345" s="71">
        <f>(F337*14)/2</f>
        <v>33.6</v>
      </c>
      <c r="G345" s="63" t="s">
        <v>83</v>
      </c>
      <c r="H345" s="22">
        <v>0.1</v>
      </c>
      <c r="I345" s="49">
        <f t="shared" si="586"/>
        <v>36.96</v>
      </c>
      <c r="J345" s="240">
        <v>0.85</v>
      </c>
      <c r="K345" s="241">
        <f t="shared" si="587"/>
        <v>31.416</v>
      </c>
      <c r="L345" s="242">
        <f t="shared" ref="L345:L348" si="596">IF(F345=0,"",L$34)</f>
        <v>53.82</v>
      </c>
      <c r="M345" s="26">
        <v>0.02</v>
      </c>
      <c r="N345" s="26">
        <f t="shared" si="589"/>
        <v>0.73920000000000008</v>
      </c>
      <c r="O345" s="241">
        <f t="shared" si="590"/>
        <v>39.783744000000006</v>
      </c>
      <c r="P345" s="243">
        <f t="shared" si="591"/>
        <v>1.9264000000000001</v>
      </c>
      <c r="Q345" s="241">
        <f t="shared" si="592"/>
        <v>71.19974400000001</v>
      </c>
      <c r="R345" s="121"/>
    </row>
    <row r="346" spans="1:18" x14ac:dyDescent="0.35">
      <c r="A346" s="69" t="str">
        <f>IF(TRIM(G346)&lt;&gt;"",COUNTA(G$11:$G346)&amp;"","")</f>
        <v>293</v>
      </c>
      <c r="B346" s="284"/>
      <c r="C346" s="284"/>
      <c r="D346" s="34"/>
      <c r="E346" s="228" t="s">
        <v>166</v>
      </c>
      <c r="F346" s="71">
        <f>F337</f>
        <v>4.8</v>
      </c>
      <c r="G346" s="63" t="s">
        <v>83</v>
      </c>
      <c r="H346" s="22">
        <v>0.1</v>
      </c>
      <c r="I346" s="49">
        <f t="shared" si="586"/>
        <v>5.2799999999999994</v>
      </c>
      <c r="J346" s="240">
        <v>2.2999999999999998</v>
      </c>
      <c r="K346" s="241">
        <f t="shared" si="587"/>
        <v>12.143999999999998</v>
      </c>
      <c r="L346" s="242">
        <f t="shared" si="596"/>
        <v>53.82</v>
      </c>
      <c r="M346" s="26">
        <v>2.5999999999999999E-2</v>
      </c>
      <c r="N346" s="26">
        <f t="shared" si="589"/>
        <v>0.13727999999999999</v>
      </c>
      <c r="O346" s="241">
        <f t="shared" si="590"/>
        <v>7.3884095999999992</v>
      </c>
      <c r="P346" s="243">
        <f t="shared" si="591"/>
        <v>3.6993200000000002</v>
      </c>
      <c r="Q346" s="241">
        <f t="shared" si="592"/>
        <v>19.532409599999998</v>
      </c>
      <c r="R346" s="121"/>
    </row>
    <row r="347" spans="1:18" x14ac:dyDescent="0.35">
      <c r="A347" s="69" t="str">
        <f>IF(TRIM(G347)&lt;&gt;"",COUNTA(G$11:$G347)&amp;"","")</f>
        <v>294</v>
      </c>
      <c r="B347" s="284"/>
      <c r="C347" s="284"/>
      <c r="D347" s="34"/>
      <c r="E347" s="67" t="s">
        <v>167</v>
      </c>
      <c r="F347" s="71">
        <f>F337*24</f>
        <v>115.19999999999999</v>
      </c>
      <c r="G347" s="63" t="s">
        <v>69</v>
      </c>
      <c r="H347" s="22">
        <v>0.1</v>
      </c>
      <c r="I347" s="49">
        <f t="shared" si="586"/>
        <v>126.71999999999998</v>
      </c>
      <c r="J347" s="240">
        <v>0.69</v>
      </c>
      <c r="K347" s="241">
        <f t="shared" si="587"/>
        <v>87.436799999999977</v>
      </c>
      <c r="L347" s="242">
        <f t="shared" si="596"/>
        <v>53.82</v>
      </c>
      <c r="M347" s="26">
        <v>1.2E-2</v>
      </c>
      <c r="N347" s="26">
        <f t="shared" si="589"/>
        <v>1.5206399999999998</v>
      </c>
      <c r="O347" s="241">
        <f t="shared" si="590"/>
        <v>81.840844799999985</v>
      </c>
      <c r="P347" s="243">
        <f t="shared" si="591"/>
        <v>1.3358399999999999</v>
      </c>
      <c r="Q347" s="241">
        <f t="shared" si="592"/>
        <v>169.27764479999996</v>
      </c>
      <c r="R347" s="121"/>
    </row>
    <row r="348" spans="1:18" x14ac:dyDescent="0.35">
      <c r="A348" s="69" t="str">
        <f>IF(TRIM(G348)&lt;&gt;"",COUNTA(G$11:$G348)&amp;"","")</f>
        <v>295</v>
      </c>
      <c r="B348" s="284"/>
      <c r="C348" s="284"/>
      <c r="D348" s="34"/>
      <c r="E348" s="67" t="s">
        <v>108</v>
      </c>
      <c r="F348" s="71">
        <f>F337*4</f>
        <v>19.2</v>
      </c>
      <c r="G348" s="63" t="s">
        <v>83</v>
      </c>
      <c r="H348" s="22">
        <v>0.1</v>
      </c>
      <c r="I348" s="49">
        <f t="shared" si="586"/>
        <v>21.119999999999997</v>
      </c>
      <c r="J348" s="240">
        <v>0.2</v>
      </c>
      <c r="K348" s="241">
        <f t="shared" si="587"/>
        <v>4.2239999999999993</v>
      </c>
      <c r="L348" s="242">
        <f t="shared" si="596"/>
        <v>53.82</v>
      </c>
      <c r="M348" s="26">
        <v>1.6E-2</v>
      </c>
      <c r="N348" s="26">
        <f t="shared" si="589"/>
        <v>0.33791999999999994</v>
      </c>
      <c r="O348" s="241">
        <f t="shared" si="590"/>
        <v>18.186854399999998</v>
      </c>
      <c r="P348" s="243">
        <f t="shared" si="591"/>
        <v>1.0611200000000001</v>
      </c>
      <c r="Q348" s="241">
        <f t="shared" si="592"/>
        <v>22.410854399999998</v>
      </c>
      <c r="R348" s="121"/>
    </row>
    <row r="349" spans="1:18" x14ac:dyDescent="0.35">
      <c r="A349" s="69" t="str">
        <f>IF(TRIM(G349)&lt;&gt;"",COUNTA(G$11:$G349)&amp;"","")</f>
        <v/>
      </c>
      <c r="B349" s="284"/>
      <c r="C349" s="284"/>
      <c r="D349" s="34"/>
      <c r="E349" s="67"/>
      <c r="F349" s="71"/>
      <c r="G349" s="63"/>
      <c r="H349" s="22"/>
      <c r="I349" s="49"/>
      <c r="J349" s="23"/>
      <c r="K349" s="24"/>
      <c r="L349" s="25"/>
      <c r="M349" s="26"/>
      <c r="N349" s="26"/>
      <c r="O349" s="24"/>
      <c r="P349" s="27"/>
      <c r="Q349" s="24"/>
      <c r="R349" s="121"/>
    </row>
    <row r="350" spans="1:18" x14ac:dyDescent="0.35">
      <c r="A350" s="69" t="str">
        <f>IF(TRIM(G350)&lt;&gt;"",COUNTA(G$11:$G350)&amp;"","")</f>
        <v/>
      </c>
      <c r="B350" s="284"/>
      <c r="C350" s="284"/>
      <c r="D350" s="34"/>
      <c r="E350" s="235" t="s">
        <v>195</v>
      </c>
      <c r="F350" s="71"/>
      <c r="G350" s="72"/>
      <c r="H350" s="22"/>
      <c r="I350" s="49"/>
      <c r="J350" s="23"/>
      <c r="K350" s="24"/>
      <c r="L350" s="25"/>
      <c r="M350" s="26"/>
      <c r="N350" s="26"/>
      <c r="O350" s="24"/>
      <c r="P350" s="27"/>
      <c r="Q350" s="24"/>
      <c r="R350" s="121"/>
    </row>
    <row r="351" spans="1:18" x14ac:dyDescent="0.35">
      <c r="A351" s="69" t="str">
        <f>IF(TRIM(G351)&lt;&gt;"",COUNTA(G$11:$G351)&amp;"","")</f>
        <v>296</v>
      </c>
      <c r="B351" s="284"/>
      <c r="C351" s="284"/>
      <c r="D351" s="34"/>
      <c r="E351" s="233" t="s">
        <v>194</v>
      </c>
      <c r="F351" s="234">
        <v>33.24</v>
      </c>
      <c r="G351" s="239" t="s">
        <v>83</v>
      </c>
      <c r="H351" s="22"/>
      <c r="I351" s="49"/>
      <c r="J351" s="23"/>
      <c r="K351" s="24"/>
      <c r="L351" s="25"/>
      <c r="M351" s="26"/>
      <c r="N351" s="26"/>
      <c r="O351" s="24"/>
      <c r="P351" s="27"/>
      <c r="Q351" s="24"/>
      <c r="R351" s="121"/>
    </row>
    <row r="352" spans="1:18" x14ac:dyDescent="0.35">
      <c r="A352" s="69" t="str">
        <f>IF(TRIM(G352)&lt;&gt;"",COUNTA(G$11:$G352)&amp;"","")</f>
        <v>297</v>
      </c>
      <c r="B352" s="284"/>
      <c r="C352" s="284"/>
      <c r="D352" s="34"/>
      <c r="E352" s="67" t="s">
        <v>196</v>
      </c>
      <c r="F352" s="71">
        <f>F351/1.33+1</f>
        <v>25.992481203007518</v>
      </c>
      <c r="G352" s="72" t="s">
        <v>102</v>
      </c>
      <c r="H352" s="22">
        <v>0</v>
      </c>
      <c r="I352" s="49">
        <f t="shared" ref="I352:I353" si="597">IF(F352=0,"",F352+(F352*H352))</f>
        <v>25.992481203007518</v>
      </c>
      <c r="J352" s="240">
        <f>1.26*(1+3/12)</f>
        <v>1.575</v>
      </c>
      <c r="K352" s="241">
        <f t="shared" ref="K352:K353" si="598">IF(F352=0,"",J352*I352)</f>
        <v>40.93815789473684</v>
      </c>
      <c r="L352" s="242">
        <f t="shared" ref="L352:L353" si="599">IF(F352=0,"",L$34)</f>
        <v>53.82</v>
      </c>
      <c r="M352" s="26">
        <f>0.052*(1+3/12)</f>
        <v>6.5000000000000002E-2</v>
      </c>
      <c r="N352" s="26">
        <f t="shared" ref="N352:N353" si="600">IF(F352=0,"",M352*I352)</f>
        <v>1.6895112781954886</v>
      </c>
      <c r="O352" s="241">
        <f t="shared" ref="O352:O353" si="601">IF(F352=0,"",N352*L352)</f>
        <v>90.929496992481205</v>
      </c>
      <c r="P352" s="243">
        <f t="shared" ref="P352:P353" si="602">IF(F352=0,"",(K352+O352)/I352)</f>
        <v>5.0732999999999997</v>
      </c>
      <c r="Q352" s="241">
        <f t="shared" ref="Q352:Q353" si="603">IF(F352=0,"",(P352*I352))</f>
        <v>131.86765488721804</v>
      </c>
      <c r="R352" s="121"/>
    </row>
    <row r="353" spans="1:18" x14ac:dyDescent="0.35">
      <c r="A353" s="69" t="str">
        <f>IF(TRIM(G353)&lt;&gt;"",COUNTA(G$11:$G353)&amp;"","")</f>
        <v>298</v>
      </c>
      <c r="B353" s="284"/>
      <c r="C353" s="284"/>
      <c r="D353" s="34"/>
      <c r="E353" s="228" t="s">
        <v>123</v>
      </c>
      <c r="F353" s="71">
        <f>F351</f>
        <v>33.24</v>
      </c>
      <c r="G353" s="72" t="s">
        <v>83</v>
      </c>
      <c r="H353" s="22">
        <v>0.1</v>
      </c>
      <c r="I353" s="49">
        <f t="shared" si="597"/>
        <v>36.564</v>
      </c>
      <c r="J353" s="240">
        <v>1.26</v>
      </c>
      <c r="K353" s="241">
        <f t="shared" si="598"/>
        <v>46.070639999999997</v>
      </c>
      <c r="L353" s="242">
        <f t="shared" si="599"/>
        <v>53.82</v>
      </c>
      <c r="M353" s="26">
        <v>5.1999999999999998E-2</v>
      </c>
      <c r="N353" s="26">
        <f t="shared" si="600"/>
        <v>1.9013279999999999</v>
      </c>
      <c r="O353" s="241">
        <f t="shared" si="601"/>
        <v>102.32947295999999</v>
      </c>
      <c r="P353" s="243">
        <f t="shared" si="602"/>
        <v>4.0586400000000005</v>
      </c>
      <c r="Q353" s="241">
        <f t="shared" si="603"/>
        <v>148.40011296000003</v>
      </c>
      <c r="R353" s="121"/>
    </row>
    <row r="354" spans="1:18" x14ac:dyDescent="0.35">
      <c r="A354" s="69" t="str">
        <f>IF(TRIM(G354)&lt;&gt;"",COUNTA(G$11:$G354)&amp;"","")</f>
        <v>299</v>
      </c>
      <c r="B354" s="284"/>
      <c r="C354" s="284"/>
      <c r="D354" s="34"/>
      <c r="E354" s="228" t="s">
        <v>124</v>
      </c>
      <c r="F354" s="71">
        <f>F351</f>
        <v>33.24</v>
      </c>
      <c r="G354" s="72" t="s">
        <v>83</v>
      </c>
      <c r="H354" s="22">
        <v>0.1</v>
      </c>
      <c r="I354" s="49">
        <f t="shared" ref="I354:I356" si="604">IF(F354=0,"",F354+(F354*H354))</f>
        <v>36.564</v>
      </c>
      <c r="J354" s="240">
        <v>1.26</v>
      </c>
      <c r="K354" s="241">
        <f t="shared" ref="K354:K356" si="605">IF(F354=0,"",J354*I354)</f>
        <v>46.070639999999997</v>
      </c>
      <c r="L354" s="242">
        <f t="shared" ref="L354:L356" si="606">IF(F354=0,"",L$34)</f>
        <v>53.82</v>
      </c>
      <c r="M354" s="26">
        <v>5.1999999999999998E-2</v>
      </c>
      <c r="N354" s="26">
        <f t="shared" ref="N354:N356" si="607">IF(F354=0,"",M354*I354)</f>
        <v>1.9013279999999999</v>
      </c>
      <c r="O354" s="241">
        <f t="shared" ref="O354:O356" si="608">IF(F354=0,"",N354*L354)</f>
        <v>102.32947295999999</v>
      </c>
      <c r="P354" s="243">
        <f t="shared" ref="P354:P356" si="609">IF(F354=0,"",(K354+O354)/I354)</f>
        <v>4.0586400000000005</v>
      </c>
      <c r="Q354" s="241">
        <f t="shared" ref="Q354:Q356" si="610">IF(F354=0,"",(P354*I354))</f>
        <v>148.40011296000003</v>
      </c>
      <c r="R354" s="121"/>
    </row>
    <row r="355" spans="1:18" x14ac:dyDescent="0.35">
      <c r="A355" s="69" t="str">
        <f>IF(TRIM(G355)&lt;&gt;"",COUNTA(G$11:$G355)&amp;"","")</f>
        <v>300</v>
      </c>
      <c r="B355" s="284"/>
      <c r="C355" s="284"/>
      <c r="D355" s="34"/>
      <c r="E355" s="228" t="s">
        <v>125</v>
      </c>
      <c r="F355" s="71">
        <f>F351*1.83</f>
        <v>60.829200000000007</v>
      </c>
      <c r="G355" s="72" t="s">
        <v>69</v>
      </c>
      <c r="H355" s="22">
        <v>0.1</v>
      </c>
      <c r="I355" s="49">
        <f t="shared" si="604"/>
        <v>66.912120000000016</v>
      </c>
      <c r="J355" s="240">
        <v>0.62</v>
      </c>
      <c r="K355" s="241">
        <f t="shared" si="605"/>
        <v>41.485514400000007</v>
      </c>
      <c r="L355" s="242">
        <f t="shared" si="606"/>
        <v>53.82</v>
      </c>
      <c r="M355" s="26">
        <v>1.6E-2</v>
      </c>
      <c r="N355" s="26">
        <f t="shared" si="607"/>
        <v>1.0705939200000003</v>
      </c>
      <c r="O355" s="241">
        <f t="shared" si="608"/>
        <v>57.619364774400019</v>
      </c>
      <c r="P355" s="243">
        <f t="shared" si="609"/>
        <v>1.48112</v>
      </c>
      <c r="Q355" s="241">
        <f t="shared" si="610"/>
        <v>99.104879174400025</v>
      </c>
      <c r="R355" s="121"/>
    </row>
    <row r="356" spans="1:18" x14ac:dyDescent="0.35">
      <c r="A356" s="69" t="str">
        <f>IF(TRIM(G356)&lt;&gt;"",COUNTA(G$11:$G356)&amp;"","")</f>
        <v>301</v>
      </c>
      <c r="B356" s="284"/>
      <c r="C356" s="284"/>
      <c r="D356" s="34"/>
      <c r="E356" s="67" t="s">
        <v>108</v>
      </c>
      <c r="F356" s="71">
        <f>F351*2</f>
        <v>66.48</v>
      </c>
      <c r="G356" s="72" t="s">
        <v>83</v>
      </c>
      <c r="H356" s="22">
        <v>0.1</v>
      </c>
      <c r="I356" s="49">
        <f t="shared" si="604"/>
        <v>73.128</v>
      </c>
      <c r="J356" s="240">
        <v>0.2</v>
      </c>
      <c r="K356" s="241">
        <f t="shared" si="605"/>
        <v>14.6256</v>
      </c>
      <c r="L356" s="242">
        <f t="shared" si="606"/>
        <v>53.82</v>
      </c>
      <c r="M356" s="26">
        <v>1.6E-2</v>
      </c>
      <c r="N356" s="26">
        <f t="shared" si="607"/>
        <v>1.170048</v>
      </c>
      <c r="O356" s="241">
        <f t="shared" si="608"/>
        <v>62.971983359999996</v>
      </c>
      <c r="P356" s="243">
        <f t="shared" si="609"/>
        <v>1.0611200000000001</v>
      </c>
      <c r="Q356" s="241">
        <f t="shared" si="610"/>
        <v>77.597583360000002</v>
      </c>
      <c r="R356" s="121"/>
    </row>
    <row r="357" spans="1:18" x14ac:dyDescent="0.35">
      <c r="A357" s="69" t="str">
        <f>IF(TRIM(G357)&lt;&gt;"",COUNTA(G$11:$G357)&amp;"","")</f>
        <v/>
      </c>
      <c r="B357" s="284"/>
      <c r="C357" s="284"/>
      <c r="D357" s="34"/>
      <c r="E357" s="67"/>
      <c r="F357" s="71"/>
      <c r="G357" s="72"/>
      <c r="H357" s="22"/>
      <c r="I357" s="49"/>
      <c r="J357" s="23"/>
      <c r="K357" s="24"/>
      <c r="L357" s="25"/>
      <c r="M357" s="26"/>
      <c r="N357" s="26"/>
      <c r="O357" s="24"/>
      <c r="P357" s="27"/>
      <c r="Q357" s="24"/>
      <c r="R357" s="121"/>
    </row>
    <row r="358" spans="1:18" x14ac:dyDescent="0.35">
      <c r="A358" s="69" t="str">
        <f>IF(TRIM(G358)&lt;&gt;"",COUNTA(G$11:$G358)&amp;"","")</f>
        <v>302</v>
      </c>
      <c r="B358" s="284"/>
      <c r="C358" s="284"/>
      <c r="D358" s="34"/>
      <c r="E358" s="233" t="s">
        <v>197</v>
      </c>
      <c r="F358" s="234">
        <v>33.24</v>
      </c>
      <c r="G358" s="239" t="s">
        <v>83</v>
      </c>
      <c r="H358" s="22"/>
      <c r="I358" s="49"/>
      <c r="J358" s="23"/>
      <c r="K358" s="24"/>
      <c r="L358" s="25"/>
      <c r="M358" s="26"/>
      <c r="N358" s="26"/>
      <c r="O358" s="24"/>
      <c r="P358" s="27"/>
      <c r="Q358" s="24"/>
      <c r="R358" s="121"/>
    </row>
    <row r="359" spans="1:18" x14ac:dyDescent="0.35">
      <c r="A359" s="69" t="str">
        <f>IF(TRIM(G359)&lt;&gt;"",COUNTA(G$11:$G359)&amp;"","")</f>
        <v>303</v>
      </c>
      <c r="B359" s="284"/>
      <c r="C359" s="284"/>
      <c r="D359" s="34"/>
      <c r="E359" s="67" t="s">
        <v>198</v>
      </c>
      <c r="F359" s="71">
        <f>F358/1.33+1</f>
        <v>25.992481203007518</v>
      </c>
      <c r="G359" s="72" t="s">
        <v>102</v>
      </c>
      <c r="H359" s="22">
        <v>0</v>
      </c>
      <c r="I359" s="49">
        <f t="shared" ref="I359:I360" si="611">IF(F359=0,"",F359+(F359*H359))</f>
        <v>25.992481203007518</v>
      </c>
      <c r="J359" s="240">
        <f>1.26*(4+8/12)</f>
        <v>5.8800000000000008</v>
      </c>
      <c r="K359" s="241">
        <f t="shared" ref="K359:K360" si="612">IF(F359=0,"",J359*I359)</f>
        <v>152.83578947368423</v>
      </c>
      <c r="L359" s="242">
        <f t="shared" ref="L359:L360" si="613">IF(F359=0,"",L$34)</f>
        <v>53.82</v>
      </c>
      <c r="M359" s="26">
        <f>0.052*(4+8/12)</f>
        <v>0.24266666666666667</v>
      </c>
      <c r="N359" s="26">
        <f t="shared" ref="N359:N360" si="614">IF(F359=0,"",M359*I359)</f>
        <v>6.3075087719298244</v>
      </c>
      <c r="O359" s="241">
        <f t="shared" ref="O359:O360" si="615">IF(F359=0,"",N359*L359)</f>
        <v>339.47012210526316</v>
      </c>
      <c r="P359" s="243">
        <f t="shared" ref="P359:P360" si="616">IF(F359=0,"",(K359+O359)/I359)</f>
        <v>18.940320000000003</v>
      </c>
      <c r="Q359" s="241">
        <f t="shared" ref="Q359:Q360" si="617">IF(F359=0,"",(P359*I359))</f>
        <v>492.30591157894742</v>
      </c>
      <c r="R359" s="121"/>
    </row>
    <row r="360" spans="1:18" x14ac:dyDescent="0.35">
      <c r="A360" s="69" t="str">
        <f>IF(TRIM(G360)&lt;&gt;"",COUNTA(G$11:$G360)&amp;"","")</f>
        <v>304</v>
      </c>
      <c r="B360" s="284"/>
      <c r="C360" s="284"/>
      <c r="D360" s="34"/>
      <c r="E360" s="228" t="s">
        <v>123</v>
      </c>
      <c r="F360" s="71">
        <f>F358</f>
        <v>33.24</v>
      </c>
      <c r="G360" s="72" t="s">
        <v>83</v>
      </c>
      <c r="H360" s="22">
        <v>0.1</v>
      </c>
      <c r="I360" s="49">
        <f t="shared" si="611"/>
        <v>36.564</v>
      </c>
      <c r="J360" s="240">
        <v>1.26</v>
      </c>
      <c r="K360" s="241">
        <f t="shared" si="612"/>
        <v>46.070639999999997</v>
      </c>
      <c r="L360" s="242">
        <f t="shared" si="613"/>
        <v>53.82</v>
      </c>
      <c r="M360" s="26">
        <v>5.1999999999999998E-2</v>
      </c>
      <c r="N360" s="26">
        <f t="shared" si="614"/>
        <v>1.9013279999999999</v>
      </c>
      <c r="O360" s="241">
        <f t="shared" si="615"/>
        <v>102.32947295999999</v>
      </c>
      <c r="P360" s="243">
        <f t="shared" si="616"/>
        <v>4.0586400000000005</v>
      </c>
      <c r="Q360" s="241">
        <f t="shared" si="617"/>
        <v>148.40011296000003</v>
      </c>
      <c r="R360" s="121"/>
    </row>
    <row r="361" spans="1:18" x14ac:dyDescent="0.35">
      <c r="A361" s="69" t="str">
        <f>IF(TRIM(G361)&lt;&gt;"",COUNTA(G$11:$G361)&amp;"","")</f>
        <v>305</v>
      </c>
      <c r="B361" s="284"/>
      <c r="C361" s="284"/>
      <c r="D361" s="34"/>
      <c r="E361" s="228" t="s">
        <v>124</v>
      </c>
      <c r="F361" s="71">
        <f>F358</f>
        <v>33.24</v>
      </c>
      <c r="G361" s="72" t="s">
        <v>83</v>
      </c>
      <c r="H361" s="22">
        <v>0.1</v>
      </c>
      <c r="I361" s="49">
        <f t="shared" ref="I361:I363" si="618">IF(F361=0,"",F361+(F361*H361))</f>
        <v>36.564</v>
      </c>
      <c r="J361" s="240">
        <v>1.26</v>
      </c>
      <c r="K361" s="241">
        <f t="shared" ref="K361:K363" si="619">IF(F361=0,"",J361*I361)</f>
        <v>46.070639999999997</v>
      </c>
      <c r="L361" s="242">
        <f t="shared" ref="L361:L363" si="620">IF(F361=0,"",L$34)</f>
        <v>53.82</v>
      </c>
      <c r="M361" s="26">
        <v>5.1999999999999998E-2</v>
      </c>
      <c r="N361" s="26">
        <f t="shared" ref="N361:N363" si="621">IF(F361=0,"",M361*I361)</f>
        <v>1.9013279999999999</v>
      </c>
      <c r="O361" s="241">
        <f t="shared" ref="O361:O363" si="622">IF(F361=0,"",N361*L361)</f>
        <v>102.32947295999999</v>
      </c>
      <c r="P361" s="243">
        <f t="shared" ref="P361:P363" si="623">IF(F361=0,"",(K361+O361)/I361)</f>
        <v>4.0586400000000005</v>
      </c>
      <c r="Q361" s="241">
        <f t="shared" ref="Q361:Q363" si="624">IF(F361=0,"",(P361*I361))</f>
        <v>148.40011296000003</v>
      </c>
      <c r="R361" s="121"/>
    </row>
    <row r="362" spans="1:18" x14ac:dyDescent="0.35">
      <c r="A362" s="69" t="str">
        <f>IF(TRIM(G362)&lt;&gt;"",COUNTA(G$11:$G362)&amp;"","")</f>
        <v>306</v>
      </c>
      <c r="B362" s="284"/>
      <c r="C362" s="284"/>
      <c r="D362" s="34"/>
      <c r="E362" s="228" t="s">
        <v>125</v>
      </c>
      <c r="F362" s="71">
        <f>F358*2.33</f>
        <v>77.449200000000005</v>
      </c>
      <c r="G362" s="72" t="s">
        <v>69</v>
      </c>
      <c r="H362" s="22">
        <v>0.1</v>
      </c>
      <c r="I362" s="49">
        <f t="shared" si="618"/>
        <v>85.194119999999998</v>
      </c>
      <c r="J362" s="240">
        <v>0.62</v>
      </c>
      <c r="K362" s="241">
        <f t="shared" si="619"/>
        <v>52.820354399999999</v>
      </c>
      <c r="L362" s="242">
        <f t="shared" si="620"/>
        <v>53.82</v>
      </c>
      <c r="M362" s="26">
        <v>1.6E-2</v>
      </c>
      <c r="N362" s="26">
        <f t="shared" si="621"/>
        <v>1.36310592</v>
      </c>
      <c r="O362" s="241">
        <f t="shared" si="622"/>
        <v>73.362360614400004</v>
      </c>
      <c r="P362" s="243">
        <f t="shared" si="623"/>
        <v>1.48112</v>
      </c>
      <c r="Q362" s="241">
        <f t="shared" si="624"/>
        <v>126.1827150144</v>
      </c>
      <c r="R362" s="121"/>
    </row>
    <row r="363" spans="1:18" x14ac:dyDescent="0.35">
      <c r="A363" s="69" t="str">
        <f>IF(TRIM(G363)&lt;&gt;"",COUNTA(G$11:$G363)&amp;"","")</f>
        <v>307</v>
      </c>
      <c r="B363" s="284"/>
      <c r="C363" s="284"/>
      <c r="D363" s="34"/>
      <c r="E363" s="67" t="s">
        <v>108</v>
      </c>
      <c r="F363" s="71">
        <f>F358*2</f>
        <v>66.48</v>
      </c>
      <c r="G363" s="72" t="s">
        <v>83</v>
      </c>
      <c r="H363" s="22">
        <v>0.1</v>
      </c>
      <c r="I363" s="49">
        <f t="shared" si="618"/>
        <v>73.128</v>
      </c>
      <c r="J363" s="240">
        <v>0.2</v>
      </c>
      <c r="K363" s="241">
        <f t="shared" si="619"/>
        <v>14.6256</v>
      </c>
      <c r="L363" s="242">
        <f t="shared" si="620"/>
        <v>53.82</v>
      </c>
      <c r="M363" s="26">
        <v>1.6E-2</v>
      </c>
      <c r="N363" s="26">
        <f t="shared" si="621"/>
        <v>1.170048</v>
      </c>
      <c r="O363" s="241">
        <f t="shared" si="622"/>
        <v>62.971983359999996</v>
      </c>
      <c r="P363" s="243">
        <f t="shared" si="623"/>
        <v>1.0611200000000001</v>
      </c>
      <c r="Q363" s="241">
        <f t="shared" si="624"/>
        <v>77.597583360000002</v>
      </c>
      <c r="R363" s="121"/>
    </row>
    <row r="364" spans="1:18" x14ac:dyDescent="0.35">
      <c r="A364" s="69" t="str">
        <f>IF(TRIM(G364)&lt;&gt;"",COUNTA(G$11:$G364)&amp;"","")</f>
        <v/>
      </c>
      <c r="B364" s="284"/>
      <c r="C364" s="284"/>
      <c r="D364" s="34"/>
      <c r="E364" s="67"/>
      <c r="F364" s="71"/>
      <c r="G364" s="72"/>
      <c r="H364" s="22"/>
      <c r="I364" s="49"/>
      <c r="J364" s="23"/>
      <c r="K364" s="24"/>
      <c r="L364" s="25"/>
      <c r="M364" s="26"/>
      <c r="N364" s="26"/>
      <c r="O364" s="24"/>
      <c r="P364" s="27"/>
      <c r="Q364" s="24"/>
      <c r="R364" s="121"/>
    </row>
    <row r="365" spans="1:18" x14ac:dyDescent="0.35">
      <c r="A365" s="69" t="str">
        <f>IF(TRIM(G365)&lt;&gt;"",COUNTA(G$11:$G365)&amp;"","")</f>
        <v/>
      </c>
      <c r="B365" s="284"/>
      <c r="C365" s="284"/>
      <c r="D365" s="34"/>
      <c r="E365" s="235" t="s">
        <v>158</v>
      </c>
      <c r="F365" s="71"/>
      <c r="G365" s="72"/>
      <c r="H365" s="22"/>
      <c r="I365" s="49"/>
      <c r="J365" s="23"/>
      <c r="K365" s="24"/>
      <c r="L365" s="25"/>
      <c r="M365" s="26"/>
      <c r="N365" s="26"/>
      <c r="O365" s="24"/>
      <c r="P365" s="27"/>
      <c r="Q365" s="24"/>
      <c r="R365" s="121"/>
    </row>
    <row r="366" spans="1:18" x14ac:dyDescent="0.35">
      <c r="A366" s="69" t="str">
        <f>IF(TRIM(G366)&lt;&gt;"",COUNTA(G$11:$G366)&amp;"","")</f>
        <v>308</v>
      </c>
      <c r="B366" s="284"/>
      <c r="C366" s="284"/>
      <c r="D366" s="34"/>
      <c r="E366" s="67" t="s">
        <v>160</v>
      </c>
      <c r="F366" s="71">
        <v>715.87</v>
      </c>
      <c r="G366" s="63" t="s">
        <v>69</v>
      </c>
      <c r="H366" s="22">
        <v>0.1</v>
      </c>
      <c r="I366" s="49">
        <f t="shared" ref="I366" si="625">IF(F366=0,"",F366+(F366*H366))</f>
        <v>787.45699999999999</v>
      </c>
      <c r="J366" s="240">
        <f>15.85/(3*5)</f>
        <v>1.0566666666666666</v>
      </c>
      <c r="K366" s="241">
        <f t="shared" ref="K366" si="626">IF(F366=0,"",J366*I366)</f>
        <v>832.07956333333334</v>
      </c>
      <c r="L366" s="242">
        <f t="shared" ref="L366" si="627">IF(F366=0,"",L$34)</f>
        <v>53.82</v>
      </c>
      <c r="M366" s="26">
        <v>1.7999999999999999E-2</v>
      </c>
      <c r="N366" s="26">
        <f t="shared" ref="N366" si="628">IF(F366=0,"",M366*I366)</f>
        <v>14.174225999999999</v>
      </c>
      <c r="O366" s="241">
        <f t="shared" ref="O366" si="629">IF(F366=0,"",N366*L366)</f>
        <v>762.85684331999994</v>
      </c>
      <c r="P366" s="243">
        <f t="shared" ref="P366" si="630">IF(F366=0,"",(K366+O366)/I366)</f>
        <v>2.0254266666666667</v>
      </c>
      <c r="Q366" s="241">
        <f t="shared" ref="Q366" si="631">IF(F366=0,"",(P366*I366))</f>
        <v>1594.9364066533333</v>
      </c>
      <c r="R366" s="121"/>
    </row>
    <row r="367" spans="1:18" x14ac:dyDescent="0.35">
      <c r="A367" s="69" t="str">
        <f>IF(TRIM(G367)&lt;&gt;"",COUNTA(G$11:$G367)&amp;"","")</f>
        <v/>
      </c>
      <c r="B367" s="284"/>
      <c r="C367" s="284"/>
      <c r="D367" s="34"/>
      <c r="E367" s="67"/>
      <c r="F367" s="71"/>
      <c r="G367" s="72"/>
      <c r="H367" s="22"/>
      <c r="I367" s="49"/>
      <c r="J367" s="23"/>
      <c r="K367" s="24"/>
      <c r="L367" s="25"/>
      <c r="M367" s="26"/>
      <c r="N367" s="26"/>
      <c r="O367" s="24"/>
      <c r="P367" s="27"/>
      <c r="Q367" s="24"/>
      <c r="R367" s="121"/>
    </row>
    <row r="368" spans="1:18" x14ac:dyDescent="0.35">
      <c r="A368" s="69" t="str">
        <f>IF(TRIM(G368)&lt;&gt;"",COUNTA(G$11:$G368)&amp;"","")</f>
        <v/>
      </c>
      <c r="B368" s="284"/>
      <c r="C368" s="284"/>
      <c r="D368" s="34"/>
      <c r="E368" s="67"/>
      <c r="F368" s="71"/>
      <c r="G368" s="72"/>
      <c r="H368" s="22"/>
      <c r="I368" s="49"/>
      <c r="J368" s="23"/>
      <c r="K368" s="24"/>
      <c r="L368" s="25"/>
      <c r="M368" s="26"/>
      <c r="N368" s="26"/>
      <c r="O368" s="24"/>
      <c r="P368" s="27"/>
      <c r="Q368" s="24"/>
      <c r="R368" s="121"/>
    </row>
    <row r="369" spans="1:18" x14ac:dyDescent="0.35">
      <c r="A369" s="69" t="str">
        <f>IF(TRIM(G369)&lt;&gt;"",COUNTA(G$11:$G369)&amp;"","")</f>
        <v/>
      </c>
      <c r="B369" s="284"/>
      <c r="C369" s="284"/>
      <c r="D369" s="34"/>
      <c r="E369" s="235" t="s">
        <v>159</v>
      </c>
      <c r="F369" s="71"/>
      <c r="G369" s="72"/>
      <c r="H369" s="22" t="str">
        <f t="shared" ref="H369" si="632">IF(F369=0,"",0)</f>
        <v/>
      </c>
      <c r="I369" s="49" t="str">
        <f t="shared" ref="I369:I371" si="633">IF(F369=0,"",F369+(F369*H369))</f>
        <v/>
      </c>
      <c r="J369" s="23" t="str">
        <f t="shared" ref="J369" si="634">IF(F369=0,"",0)</f>
        <v/>
      </c>
      <c r="K369" s="24" t="str">
        <f t="shared" ref="K369:K371" si="635">IF(F369=0,"",J369*I369)</f>
        <v/>
      </c>
      <c r="L369" s="25" t="str">
        <f t="shared" ref="L369:L371" si="636">IF(F369=0,"",L$34)</f>
        <v/>
      </c>
      <c r="M369" s="26" t="str">
        <f t="shared" ref="M369" si="637">IF(F369=0,"",0)</f>
        <v/>
      </c>
      <c r="N369" s="26" t="str">
        <f t="shared" ref="N369:N371" si="638">IF(F369=0,"",M369*I369)</f>
        <v/>
      </c>
      <c r="O369" s="24" t="str">
        <f t="shared" ref="O369:O371" si="639">IF(F369=0,"",N369*L369)</f>
        <v/>
      </c>
      <c r="P369" s="27" t="str">
        <f t="shared" ref="P369:P371" si="640">IF(F369=0,"",(K369+O369)/I369)</f>
        <v/>
      </c>
      <c r="Q369" s="24" t="str">
        <f t="shared" ref="Q369:Q371" si="641">IF(F369=0,"",(P369*I369))</f>
        <v/>
      </c>
      <c r="R369" s="121"/>
    </row>
    <row r="370" spans="1:18" x14ac:dyDescent="0.35">
      <c r="A370" s="69" t="str">
        <f>IF(TRIM(G370)&lt;&gt;"",COUNTA(G$11:$G370)&amp;"","")</f>
        <v>309</v>
      </c>
      <c r="B370" s="284"/>
      <c r="C370" s="284"/>
      <c r="D370" s="34"/>
      <c r="E370" s="67" t="s">
        <v>156</v>
      </c>
      <c r="F370" s="71">
        <v>364.64</v>
      </c>
      <c r="G370" s="72" t="s">
        <v>69</v>
      </c>
      <c r="H370" s="22">
        <v>0.1</v>
      </c>
      <c r="I370" s="49">
        <f t="shared" si="633"/>
        <v>401.10399999999998</v>
      </c>
      <c r="J370" s="240">
        <v>0.52</v>
      </c>
      <c r="K370" s="241">
        <f t="shared" si="635"/>
        <v>208.57408000000001</v>
      </c>
      <c r="L370" s="242">
        <f t="shared" si="636"/>
        <v>53.82</v>
      </c>
      <c r="M370" s="26">
        <v>1.6E-2</v>
      </c>
      <c r="N370" s="26">
        <f t="shared" si="638"/>
        <v>6.4176640000000003</v>
      </c>
      <c r="O370" s="241">
        <f t="shared" si="639"/>
        <v>345.39867648000001</v>
      </c>
      <c r="P370" s="243">
        <f t="shared" si="640"/>
        <v>1.3811200000000001</v>
      </c>
      <c r="Q370" s="241">
        <f t="shared" si="641"/>
        <v>553.97275648000004</v>
      </c>
      <c r="R370" s="121"/>
    </row>
    <row r="371" spans="1:18" x14ac:dyDescent="0.35">
      <c r="A371" s="69" t="str">
        <f>IF(TRIM(G371)&lt;&gt;"",COUNTA(G$11:$G371)&amp;"","")</f>
        <v>310</v>
      </c>
      <c r="B371" s="284"/>
      <c r="C371" s="284"/>
      <c r="D371" s="34"/>
      <c r="E371" s="67" t="s">
        <v>157</v>
      </c>
      <c r="F371" s="71">
        <v>676.9</v>
      </c>
      <c r="G371" s="72" t="s">
        <v>69</v>
      </c>
      <c r="H371" s="22">
        <v>0.1</v>
      </c>
      <c r="I371" s="49">
        <f t="shared" si="633"/>
        <v>744.58999999999992</v>
      </c>
      <c r="J371" s="240">
        <v>0.67</v>
      </c>
      <c r="K371" s="241">
        <f t="shared" si="635"/>
        <v>498.87529999999998</v>
      </c>
      <c r="L371" s="242">
        <f t="shared" si="636"/>
        <v>53.82</v>
      </c>
      <c r="M371" s="26">
        <v>1.6E-2</v>
      </c>
      <c r="N371" s="26">
        <f t="shared" si="638"/>
        <v>11.91344</v>
      </c>
      <c r="O371" s="241">
        <f t="shared" si="639"/>
        <v>641.18134079999993</v>
      </c>
      <c r="P371" s="243">
        <f t="shared" si="640"/>
        <v>1.53112</v>
      </c>
      <c r="Q371" s="241">
        <f t="shared" si="641"/>
        <v>1140.0566408</v>
      </c>
      <c r="R371" s="121"/>
    </row>
    <row r="372" spans="1:18" x14ac:dyDescent="0.35">
      <c r="A372" s="69" t="str">
        <f>IF(TRIM(G372)&lt;&gt;"",COUNTA(G$11:$G372)&amp;"","")</f>
        <v/>
      </c>
      <c r="B372" s="284"/>
      <c r="C372" s="284"/>
      <c r="D372" s="34"/>
      <c r="E372" s="67"/>
      <c r="F372" s="71"/>
      <c r="G372" s="72"/>
      <c r="H372" s="22" t="str">
        <f t="shared" ref="H372:H375" si="642">IF(F372=0,"",0)</f>
        <v/>
      </c>
      <c r="I372" s="49" t="str">
        <f t="shared" ref="I372:I375" si="643">IF(F372=0,"",F372+(F372*H372))</f>
        <v/>
      </c>
      <c r="J372" s="23" t="str">
        <f t="shared" ref="J372" si="644">IF(F372=0,"",0)</f>
        <v/>
      </c>
      <c r="K372" s="24" t="str">
        <f t="shared" ref="K372:K375" si="645">IF(F372=0,"",J372*I372)</f>
        <v/>
      </c>
      <c r="L372" s="25" t="str">
        <f t="shared" si="262"/>
        <v/>
      </c>
      <c r="M372" s="26" t="str">
        <f t="shared" ref="M372" si="646">IF(F372=0,"",0)</f>
        <v/>
      </c>
      <c r="N372" s="26" t="str">
        <f t="shared" ref="N372:N375" si="647">IF(F372=0,"",M372*I372)</f>
        <v/>
      </c>
      <c r="O372" s="24" t="str">
        <f t="shared" ref="O372:O375" si="648">IF(F372=0,"",N372*L372)</f>
        <v/>
      </c>
      <c r="P372" s="27" t="str">
        <f t="shared" si="265"/>
        <v/>
      </c>
      <c r="Q372" s="24" t="str">
        <f t="shared" si="266"/>
        <v/>
      </c>
      <c r="R372" s="121"/>
    </row>
    <row r="373" spans="1:18" x14ac:dyDescent="0.35">
      <c r="A373" s="69" t="str">
        <f>IF(TRIM(G373)&lt;&gt;"",COUNTA(G$11:$G373)&amp;"","")</f>
        <v>311</v>
      </c>
      <c r="B373" s="284"/>
      <c r="C373" s="284"/>
      <c r="D373" s="75"/>
      <c r="E373" s="83" t="s">
        <v>203</v>
      </c>
      <c r="F373" s="71">
        <f>(21499/32)*10</f>
        <v>6718.4375</v>
      </c>
      <c r="G373" s="72" t="s">
        <v>83</v>
      </c>
      <c r="H373" s="22">
        <f t="shared" si="642"/>
        <v>0</v>
      </c>
      <c r="I373" s="49">
        <f t="shared" si="643"/>
        <v>6718.4375</v>
      </c>
      <c r="J373" s="241">
        <v>0.01</v>
      </c>
      <c r="K373" s="241">
        <f t="shared" si="645"/>
        <v>67.184375000000003</v>
      </c>
      <c r="L373" s="241">
        <f t="shared" si="262"/>
        <v>53.82</v>
      </c>
      <c r="M373" s="26">
        <v>0.01</v>
      </c>
      <c r="N373" s="26">
        <f t="shared" si="647"/>
        <v>67.184375000000003</v>
      </c>
      <c r="O373" s="241">
        <f t="shared" si="648"/>
        <v>3615.8630625000001</v>
      </c>
      <c r="P373" s="241">
        <f>IF(F373=0,"",(K373+O373)/I373)</f>
        <v>0.54820000000000002</v>
      </c>
      <c r="Q373" s="241">
        <f t="shared" si="266"/>
        <v>3683.0474375000003</v>
      </c>
      <c r="R373" s="121"/>
    </row>
    <row r="374" spans="1:18" x14ac:dyDescent="0.35">
      <c r="A374" s="69" t="str">
        <f>IF(TRIM(G374)&lt;&gt;"",COUNTA(G$11:$G374)&amp;"","")</f>
        <v>312</v>
      </c>
      <c r="B374" s="284"/>
      <c r="C374" s="284"/>
      <c r="D374" s="75"/>
      <c r="E374" s="83" t="s">
        <v>204</v>
      </c>
      <c r="F374" s="71">
        <f>21499*0.053</f>
        <v>1139.4469999999999</v>
      </c>
      <c r="G374" s="72" t="s">
        <v>205</v>
      </c>
      <c r="H374" s="22">
        <f t="shared" si="642"/>
        <v>0</v>
      </c>
      <c r="I374" s="49">
        <f t="shared" si="643"/>
        <v>1139.4469999999999</v>
      </c>
      <c r="J374" s="241">
        <v>0.5</v>
      </c>
      <c r="K374" s="241">
        <f t="shared" si="645"/>
        <v>569.72349999999994</v>
      </c>
      <c r="L374" s="241">
        <f t="shared" si="262"/>
        <v>53.82</v>
      </c>
      <c r="M374" s="26">
        <v>0.22</v>
      </c>
      <c r="N374" s="26">
        <f t="shared" si="647"/>
        <v>250.67833999999996</v>
      </c>
      <c r="O374" s="241">
        <f t="shared" si="648"/>
        <v>13491.508258799999</v>
      </c>
      <c r="P374" s="241">
        <f t="shared" ref="P374:P375" si="649">IF(F374=0,"",(K374+O374)/I374)</f>
        <v>12.340400000000001</v>
      </c>
      <c r="Q374" s="241">
        <f t="shared" si="266"/>
        <v>14061.231758799999</v>
      </c>
      <c r="R374" s="121"/>
    </row>
    <row r="375" spans="1:18" x14ac:dyDescent="0.35">
      <c r="A375" s="69" t="str">
        <f>IF(TRIM(G375)&lt;&gt;"",COUNTA(G$11:$G375)&amp;"","")</f>
        <v>313</v>
      </c>
      <c r="B375" s="285"/>
      <c r="C375" s="285"/>
      <c r="D375" s="75"/>
      <c r="E375" s="83" t="s">
        <v>206</v>
      </c>
      <c r="F375" s="71">
        <f>(21173/32)*45</f>
        <v>29774.53125</v>
      </c>
      <c r="G375" s="72" t="s">
        <v>102</v>
      </c>
      <c r="H375" s="22">
        <f t="shared" si="642"/>
        <v>0</v>
      </c>
      <c r="I375" s="49">
        <f t="shared" si="643"/>
        <v>29774.53125</v>
      </c>
      <c r="J375" s="241">
        <v>0.02</v>
      </c>
      <c r="K375" s="241">
        <f t="shared" si="645"/>
        <v>595.49062500000002</v>
      </c>
      <c r="L375" s="241">
        <f t="shared" si="262"/>
        <v>53.82</v>
      </c>
      <c r="M375" s="26">
        <v>1E-3</v>
      </c>
      <c r="N375" s="26">
        <f t="shared" si="647"/>
        <v>29.774531249999999</v>
      </c>
      <c r="O375" s="241">
        <f t="shared" si="648"/>
        <v>1602.4652718749999</v>
      </c>
      <c r="P375" s="241">
        <f t="shared" si="649"/>
        <v>7.3819999999999997E-2</v>
      </c>
      <c r="Q375" s="241">
        <f t="shared" si="266"/>
        <v>2197.9558968749998</v>
      </c>
      <c r="R375" s="121"/>
    </row>
    <row r="376" spans="1:18" ht="15" thickBot="1" x14ac:dyDescent="0.4">
      <c r="A376" s="69" t="str">
        <f>IF(TRIM(G376)&lt;&gt;"",COUNTA(G$11:$G376)&amp;"","")</f>
        <v/>
      </c>
      <c r="B376" s="70"/>
      <c r="C376" s="70"/>
      <c r="D376" s="35"/>
      <c r="E376" s="67"/>
      <c r="F376" s="71"/>
      <c r="G376" s="72"/>
      <c r="H376" s="22" t="str">
        <f t="shared" ref="H376" si="650">IF(F376=0,"",0)</f>
        <v/>
      </c>
      <c r="I376" s="49" t="str">
        <f t="shared" ref="I376" si="651">IF(F376=0,"",F376+(F376*H376))</f>
        <v/>
      </c>
      <c r="J376" s="23" t="str">
        <f t="shared" ref="J376" si="652">IF(F376=0,"",0)</f>
        <v/>
      </c>
      <c r="K376" s="24" t="str">
        <f t="shared" ref="K376" si="653">IF(F376=0,"",J376*I376)</f>
        <v/>
      </c>
      <c r="L376" s="25" t="str">
        <f>IF(F376=0,"",L$34)</f>
        <v/>
      </c>
      <c r="M376" s="26" t="str">
        <f t="shared" ref="M376" si="654">IF(F376=0,"",0)</f>
        <v/>
      </c>
      <c r="N376" s="26" t="str">
        <f t="shared" ref="N376" si="655">IF(F376=0,"",M376*I376)</f>
        <v/>
      </c>
      <c r="O376" s="24" t="str">
        <f t="shared" ref="O376" si="656">IF(F376=0,"",N376*L376)</f>
        <v/>
      </c>
      <c r="P376" s="27" t="str">
        <f t="shared" ref="P376" si="657">IF(F376=0,"",(K376+O376)/I376)</f>
        <v/>
      </c>
      <c r="Q376" s="24" t="str">
        <f t="shared" ref="Q376" si="658">IF(F376=0,"",(P376*I376))</f>
        <v/>
      </c>
      <c r="R376" s="121"/>
    </row>
    <row r="377" spans="1:18" s="2" customFormat="1" ht="16" thickBot="1" x14ac:dyDescent="0.4">
      <c r="A377" s="84" t="str">
        <f>IF(TRIM(G377)&lt;&gt;"",COUNTA(G$10:$G377)&amp;"","")</f>
        <v/>
      </c>
      <c r="B377" s="1"/>
      <c r="C377" s="1"/>
      <c r="D377" s="20"/>
      <c r="E377" s="19"/>
      <c r="F377" s="169"/>
      <c r="G377" s="176"/>
      <c r="H377" s="81" t="s">
        <v>12</v>
      </c>
      <c r="I377" s="82"/>
      <c r="J377" s="42">
        <f>SUM(K$35:K$376)</f>
        <v>64155.766353500767</v>
      </c>
      <c r="K377" s="268" t="s">
        <v>13</v>
      </c>
      <c r="L377" s="269"/>
      <c r="M377" s="43">
        <f>SUM(O$35:O$376)</f>
        <v>116355.06668027343</v>
      </c>
      <c r="N377" s="268" t="s">
        <v>42</v>
      </c>
      <c r="O377" s="269"/>
      <c r="P377" s="44">
        <f>SUM(N$35:N$376)</f>
        <v>2161.9298900087974</v>
      </c>
      <c r="Q377" s="119" t="s">
        <v>97</v>
      </c>
      <c r="R377" s="43">
        <f>SUM(Q$35:Q$376)</f>
        <v>180510.83303377443</v>
      </c>
    </row>
    <row r="378" spans="1:18" ht="15" thickBot="1" x14ac:dyDescent="0.4">
      <c r="A378" s="124" t="str">
        <f>IF(TRIM(G378)&lt;&gt;"",COUNTA(G$10:$G378)&amp;"","")</f>
        <v/>
      </c>
      <c r="B378" s="125"/>
      <c r="C378" s="125"/>
      <c r="D378" s="126"/>
      <c r="E378" s="127"/>
      <c r="F378" s="128"/>
      <c r="G378" s="129"/>
      <c r="H378" s="244" t="str">
        <f>IF(F378=0,"",0)</f>
        <v/>
      </c>
      <c r="I378" s="245" t="str">
        <f t="shared" ref="I378" si="659">IF(F378=0,"",F378+(F378*H378))</f>
        <v/>
      </c>
      <c r="J378" s="246" t="str">
        <f>IF(F378=0,"",0)</f>
        <v/>
      </c>
      <c r="K378" s="130" t="str">
        <f>IF(F378=0,"",J378*I378)</f>
        <v/>
      </c>
      <c r="L378" s="130" t="str">
        <f>IF(F378=0,"",#REF!)</f>
        <v/>
      </c>
      <c r="M378" s="247" t="str">
        <f>IF(F378=0,"",0)</f>
        <v/>
      </c>
      <c r="N378" s="247" t="str">
        <f>IF(F378=0,"",M378*I378)</f>
        <v/>
      </c>
      <c r="O378" s="130" t="str">
        <f>IF(F378=0,"",N378*L378)</f>
        <v/>
      </c>
      <c r="P378" s="248" t="str">
        <f>IF(F378=0,"",K378+O378)</f>
        <v/>
      </c>
      <c r="Q378" s="248"/>
      <c r="R378" s="249"/>
    </row>
    <row r="379" spans="1:18" s="2" customFormat="1" ht="19.899999999999999" customHeight="1" thickBot="1" x14ac:dyDescent="0.4">
      <c r="A379" s="149" t="str">
        <f>IF(TRIM(G379)&lt;&gt;"",COUNTA(G$10:$G379)&amp;"","")</f>
        <v/>
      </c>
      <c r="B379" s="141"/>
      <c r="C379" s="150"/>
      <c r="D379" s="141"/>
      <c r="E379" s="146"/>
      <c r="F379" s="142"/>
      <c r="G379" s="142"/>
      <c r="H379" s="315" t="s">
        <v>80</v>
      </c>
      <c r="I379" s="316"/>
      <c r="J379" s="192">
        <f>SUM(K$10:K$378)</f>
        <v>64155.766353500767</v>
      </c>
      <c r="K379" s="317" t="s">
        <v>81</v>
      </c>
      <c r="L379" s="318"/>
      <c r="M379" s="193">
        <f>SUM(O$10:O$378)</f>
        <v>162476.08536027349</v>
      </c>
      <c r="N379" s="317" t="s">
        <v>82</v>
      </c>
      <c r="O379" s="318"/>
      <c r="P379" s="194">
        <f>SUM(N$10:N$378)</f>
        <v>3210.1348600087981</v>
      </c>
      <c r="Q379" s="195" t="s">
        <v>98</v>
      </c>
      <c r="R379" s="193">
        <f>SUM(Q$9:Q$378)</f>
        <v>226631.85171377432</v>
      </c>
    </row>
    <row r="380" spans="1:18" ht="15" thickBot="1" x14ac:dyDescent="0.4">
      <c r="A380" s="148" t="str">
        <f>IF(TRIM(G380)&lt;&gt;"",COUNTA(G$10:$G380)&amp;"","")</f>
        <v/>
      </c>
      <c r="B380" s="147"/>
      <c r="C380" s="147"/>
      <c r="D380" s="131"/>
      <c r="E380" s="145"/>
      <c r="F380" s="132"/>
      <c r="G380" s="133"/>
      <c r="H380" s="143" t="str">
        <f>IF(F380=0,"",0)</f>
        <v/>
      </c>
      <c r="I380" s="144" t="str">
        <f t="shared" ref="I380" si="660">IF(F380=0,"",F380+(F380*H380))</f>
        <v/>
      </c>
      <c r="J380" s="134" t="str">
        <f>IF(F380=0,"",0)</f>
        <v/>
      </c>
      <c r="K380" s="135" t="str">
        <f>IF(F380=0,"",J380*I380)</f>
        <v/>
      </c>
      <c r="L380" s="136" t="str">
        <f>IF(F380=0,"",#REF!)</f>
        <v/>
      </c>
      <c r="M380" s="137" t="str">
        <f>IF(F380=0,"",0)</f>
        <v/>
      </c>
      <c r="N380" s="137" t="str">
        <f>IF(F380=0,"",M380*I380)</f>
        <v/>
      </c>
      <c r="O380" s="135" t="str">
        <f>IF(F380=0,"",N380*L380)</f>
        <v/>
      </c>
      <c r="P380" s="138" t="str">
        <f>IF(F380=0,"",K380+O380)</f>
        <v/>
      </c>
      <c r="Q380" s="135"/>
      <c r="R380" s="139"/>
    </row>
    <row r="381" spans="1:18" ht="20.149999999999999" customHeight="1" thickBot="1" x14ac:dyDescent="0.4">
      <c r="A381" s="295" t="s">
        <v>25</v>
      </c>
      <c r="B381" s="296"/>
      <c r="C381" s="296"/>
      <c r="D381" s="296"/>
      <c r="E381" s="296"/>
      <c r="F381" s="296"/>
      <c r="G381" s="296"/>
      <c r="H381" s="296"/>
      <c r="I381" s="296"/>
      <c r="J381" s="296"/>
      <c r="K381" s="296"/>
      <c r="L381" s="296"/>
      <c r="M381" s="296"/>
      <c r="N381" s="296"/>
      <c r="O381" s="296"/>
      <c r="P381" s="296"/>
      <c r="Q381" s="297"/>
      <c r="R381" s="219">
        <f>SUM(K$10:$K$380)</f>
        <v>64155.766353500767</v>
      </c>
    </row>
    <row r="382" spans="1:18" ht="20.149999999999999" customHeight="1" thickBot="1" x14ac:dyDescent="0.4">
      <c r="A382" s="295" t="s">
        <v>26</v>
      </c>
      <c r="B382" s="296"/>
      <c r="C382" s="296"/>
      <c r="D382" s="296"/>
      <c r="E382" s="296"/>
      <c r="F382" s="296"/>
      <c r="G382" s="296"/>
      <c r="H382" s="296"/>
      <c r="I382" s="296"/>
      <c r="J382" s="296"/>
      <c r="K382" s="296"/>
      <c r="L382" s="296"/>
      <c r="M382" s="296"/>
      <c r="N382" s="296"/>
      <c r="O382" s="296"/>
      <c r="P382" s="296"/>
      <c r="Q382" s="297"/>
      <c r="R382" s="219">
        <f>SUM(O$10:O$380)</f>
        <v>162476.08536027349</v>
      </c>
    </row>
    <row r="383" spans="1:18" ht="20.149999999999999" customHeight="1" thickBot="1" x14ac:dyDescent="0.4">
      <c r="A383" s="295" t="s">
        <v>73</v>
      </c>
      <c r="B383" s="296"/>
      <c r="C383" s="296"/>
      <c r="D383" s="296"/>
      <c r="E383" s="296"/>
      <c r="F383" s="296"/>
      <c r="G383" s="296"/>
      <c r="H383" s="296"/>
      <c r="I383" s="296"/>
      <c r="J383" s="296"/>
      <c r="K383" s="296"/>
      <c r="L383" s="296"/>
      <c r="M383" s="296"/>
      <c r="N383" s="296"/>
      <c r="O383" s="296"/>
      <c r="P383" s="296"/>
      <c r="Q383" s="297"/>
      <c r="R383" s="220">
        <f>SUM(N$10:N$380)</f>
        <v>3210.1348600087981</v>
      </c>
    </row>
    <row r="384" spans="1:18" ht="19" customHeight="1" x14ac:dyDescent="0.35">
      <c r="A384" s="162"/>
      <c r="B384" s="163"/>
      <c r="C384" s="164"/>
      <c r="D384" s="165"/>
      <c r="E384" s="166"/>
      <c r="F384" s="167"/>
      <c r="G384" s="168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</row>
    <row r="385" spans="1:18" ht="18.5" x14ac:dyDescent="0.35">
      <c r="A385" s="164"/>
      <c r="B385" s="196" t="s">
        <v>52</v>
      </c>
      <c r="C385" s="164"/>
      <c r="D385" s="165"/>
      <c r="E385" s="319"/>
      <c r="F385" s="319"/>
      <c r="G385" s="319"/>
      <c r="H385" s="319"/>
      <c r="I385" s="319"/>
      <c r="J385" s="319"/>
      <c r="K385" s="319"/>
      <c r="L385" s="319"/>
      <c r="M385" s="319"/>
      <c r="N385" s="319"/>
      <c r="O385" s="319"/>
      <c r="P385" s="319"/>
      <c r="Q385" s="319"/>
      <c r="R385" s="319"/>
    </row>
    <row r="386" spans="1:18" s="45" customFormat="1" ht="18.75" customHeight="1" x14ac:dyDescent="0.35">
      <c r="A386" s="90">
        <v>1</v>
      </c>
      <c r="B386" s="266" t="s">
        <v>86</v>
      </c>
      <c r="C386" s="266"/>
      <c r="D386" s="266"/>
      <c r="E386" s="266"/>
      <c r="F386" s="266"/>
      <c r="G386" s="266"/>
      <c r="H386" s="266"/>
      <c r="I386" s="266"/>
      <c r="J386" s="266"/>
      <c r="K386" s="266"/>
      <c r="L386" s="266"/>
      <c r="M386" s="266"/>
      <c r="N386" s="266"/>
      <c r="O386" s="266"/>
      <c r="P386" s="266"/>
      <c r="Q386" s="266"/>
      <c r="R386" s="267"/>
    </row>
    <row r="387" spans="1:18" s="45" customFormat="1" ht="18" customHeight="1" x14ac:dyDescent="0.35">
      <c r="A387" s="90">
        <v>2</v>
      </c>
      <c r="B387" s="266" t="s">
        <v>89</v>
      </c>
      <c r="C387" s="266"/>
      <c r="D387" s="266"/>
      <c r="E387" s="266"/>
      <c r="F387" s="266"/>
      <c r="G387" s="266"/>
      <c r="H387" s="266"/>
      <c r="I387" s="266"/>
      <c r="J387" s="266"/>
      <c r="K387" s="266"/>
      <c r="L387" s="266"/>
      <c r="M387" s="266"/>
      <c r="N387" s="266"/>
      <c r="O387" s="266"/>
      <c r="P387" s="266"/>
      <c r="Q387" s="266"/>
      <c r="R387" s="267"/>
    </row>
    <row r="388" spans="1:18" s="45" customFormat="1" ht="18" customHeight="1" x14ac:dyDescent="0.35">
      <c r="A388" s="90">
        <v>3</v>
      </c>
      <c r="B388" s="266" t="s">
        <v>54</v>
      </c>
      <c r="C388" s="266"/>
      <c r="D388" s="266"/>
      <c r="E388" s="266"/>
      <c r="F388" s="266"/>
      <c r="G388" s="266"/>
      <c r="H388" s="266"/>
      <c r="I388" s="266"/>
      <c r="J388" s="266"/>
      <c r="K388" s="266"/>
      <c r="L388" s="266"/>
      <c r="M388" s="266"/>
      <c r="N388" s="266"/>
      <c r="O388" s="266"/>
      <c r="P388" s="266"/>
      <c r="Q388" s="266"/>
      <c r="R388" s="267"/>
    </row>
    <row r="389" spans="1:18" s="45" customFormat="1" ht="18" customHeight="1" x14ac:dyDescent="0.35">
      <c r="A389" s="90">
        <v>4</v>
      </c>
      <c r="B389" s="266" t="s">
        <v>87</v>
      </c>
      <c r="C389" s="266"/>
      <c r="D389" s="266"/>
      <c r="E389" s="266"/>
      <c r="F389" s="266"/>
      <c r="G389" s="266"/>
      <c r="H389" s="266"/>
      <c r="I389" s="266"/>
      <c r="J389" s="266"/>
      <c r="K389" s="266"/>
      <c r="L389" s="266"/>
      <c r="M389" s="266"/>
      <c r="N389" s="266"/>
      <c r="O389" s="266"/>
      <c r="P389" s="266"/>
      <c r="Q389" s="266"/>
      <c r="R389" s="267"/>
    </row>
    <row r="390" spans="1:18" ht="15" thickBot="1" x14ac:dyDescent="0.4">
      <c r="A390" s="36"/>
      <c r="B390" s="306"/>
      <c r="C390" s="306"/>
      <c r="D390" s="306"/>
      <c r="E390" s="306"/>
      <c r="F390" s="306"/>
      <c r="G390" s="306"/>
      <c r="H390" s="306"/>
      <c r="I390" s="306"/>
      <c r="J390" s="306"/>
      <c r="K390" s="306"/>
      <c r="L390" s="306"/>
      <c r="M390" s="306"/>
      <c r="N390" s="306"/>
      <c r="O390" s="306"/>
      <c r="P390" s="306"/>
      <c r="Q390" s="306"/>
      <c r="R390" s="307"/>
    </row>
  </sheetData>
  <autoFilter ref="E35:I367" xr:uid="{00000000-0001-0000-0100-000000000000}"/>
  <mergeCells count="41">
    <mergeCell ref="B389:R389"/>
    <mergeCell ref="B390:R390"/>
    <mergeCell ref="E2:L2"/>
    <mergeCell ref="M1:N1"/>
    <mergeCell ref="E1:L1"/>
    <mergeCell ref="M2:N2"/>
    <mergeCell ref="M4:N4"/>
    <mergeCell ref="F5:L5"/>
    <mergeCell ref="F3:L3"/>
    <mergeCell ref="F4:L4"/>
    <mergeCell ref="B388:R388"/>
    <mergeCell ref="H379:I379"/>
    <mergeCell ref="K379:L379"/>
    <mergeCell ref="N379:O379"/>
    <mergeCell ref="B387:R387"/>
    <mergeCell ref="E385:R385"/>
    <mergeCell ref="A381:Q381"/>
    <mergeCell ref="A382:Q382"/>
    <mergeCell ref="A383:Q383"/>
    <mergeCell ref="M3:N3"/>
    <mergeCell ref="O1:R1"/>
    <mergeCell ref="O2:R2"/>
    <mergeCell ref="O3:R3"/>
    <mergeCell ref="O4:R4"/>
    <mergeCell ref="O5:R5"/>
    <mergeCell ref="B386:R386"/>
    <mergeCell ref="K377:L377"/>
    <mergeCell ref="N377:O377"/>
    <mergeCell ref="M5:N5"/>
    <mergeCell ref="N16:O16"/>
    <mergeCell ref="K16:L16"/>
    <mergeCell ref="N33:O33"/>
    <mergeCell ref="K33:L33"/>
    <mergeCell ref="A1:D5"/>
    <mergeCell ref="B20:B31"/>
    <mergeCell ref="C20:C31"/>
    <mergeCell ref="A6:F6"/>
    <mergeCell ref="H6:K6"/>
    <mergeCell ref="L6:Q6"/>
    <mergeCell ref="B38:B375"/>
    <mergeCell ref="C38:C37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ignoredErrors>
    <ignoredError sqref="M377 M379 J377 J379 P37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D3BEA22-F54F-44DA-8F2F-EF3838E6D177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Recap &amp; Summary</vt:lpstr>
      <vt:lpstr>Worksheet</vt:lpstr>
      <vt:lpstr>'Bid Recap &amp; Summary'!Print_Area</vt:lpstr>
      <vt:lpstr>Worksheet!Print_Area</vt:lpstr>
      <vt:lpstr>Worksheet!Print_Titles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2026-03-13T19:41:57Z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{DD3BEA22-F54F-44DA-8F2F-EF3838E6D177}</vt:lpwstr>
  </property>
</Properties>
</file>