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sample estimate\"/>
    </mc:Choice>
  </mc:AlternateContent>
  <xr:revisionPtr revIDLastSave="0" documentId="13_ncr:1_{E0B86931-93BF-4743-98DA-0EB814393A5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 Summary" sheetId="4" r:id="rId1"/>
    <sheet name="Takeoff Breakdown" sheetId="1" r:id="rId2"/>
  </sheets>
  <definedNames>
    <definedName name="_xlnm._FilterDatabase" localSheetId="1" hidden="1">'Takeoff Breakdown'!$L$1:$L$74</definedName>
    <definedName name="_xlnm.Print_Area" localSheetId="0">'General Summary'!$A$1:$O$20</definedName>
    <definedName name="_xlnm.Print_Area" localSheetId="1">'Takeoff Breakdown'!$A$2:$O$74</definedName>
    <definedName name="_xlnm.Print_Titles" localSheetId="1">'Takeoff Breakdown'!$1:$9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1" l="1"/>
  <c r="L48" i="1"/>
  <c r="H55" i="1" l="1"/>
  <c r="J55" i="1" s="1"/>
  <c r="H54" i="1"/>
  <c r="J54" i="1" s="1"/>
  <c r="H53" i="1"/>
  <c r="J53" i="1" s="1"/>
  <c r="H52" i="1"/>
  <c r="J52" i="1" s="1"/>
  <c r="K55" i="1"/>
  <c r="K54" i="1"/>
  <c r="K53" i="1"/>
  <c r="K52" i="1"/>
  <c r="J43" i="1"/>
  <c r="J42" i="1"/>
  <c r="K34" i="1"/>
  <c r="J34" i="1"/>
  <c r="J33" i="1"/>
  <c r="K27" i="1"/>
  <c r="K25" i="1"/>
  <c r="B9" i="4"/>
  <c r="A32" i="1"/>
  <c r="A35" i="1"/>
  <c r="A38" i="1"/>
  <c r="A41" i="1"/>
  <c r="A44" i="1"/>
  <c r="A45" i="1"/>
  <c r="A48" i="1"/>
  <c r="A51" i="1"/>
  <c r="A56" i="1"/>
  <c r="A60" i="1"/>
  <c r="G25" i="1"/>
  <c r="J25" i="1"/>
  <c r="G26" i="1"/>
  <c r="M26" i="1" s="1"/>
  <c r="J26" i="1"/>
  <c r="G27" i="1"/>
  <c r="J27" i="1"/>
  <c r="G28" i="1"/>
  <c r="M28" i="1" s="1"/>
  <c r="J28" i="1"/>
  <c r="G29" i="1"/>
  <c r="M29" i="1" s="1"/>
  <c r="J29" i="1"/>
  <c r="G30" i="1"/>
  <c r="M30" i="1" s="1"/>
  <c r="J30" i="1"/>
  <c r="G31" i="1"/>
  <c r="M31" i="1" s="1"/>
  <c r="J31" i="1"/>
  <c r="G33" i="1"/>
  <c r="M33" i="1" s="1"/>
  <c r="N33" i="1"/>
  <c r="G34" i="1"/>
  <c r="G36" i="1"/>
  <c r="M36" i="1" s="1"/>
  <c r="J36" i="1"/>
  <c r="G37" i="1"/>
  <c r="M37" i="1" s="1"/>
  <c r="J37" i="1"/>
  <c r="G39" i="1"/>
  <c r="M39" i="1" s="1"/>
  <c r="J39" i="1"/>
  <c r="G40" i="1"/>
  <c r="M40" i="1" s="1"/>
  <c r="J40" i="1"/>
  <c r="G42" i="1"/>
  <c r="M42" i="1" s="1"/>
  <c r="G43" i="1"/>
  <c r="M43" i="1" s="1"/>
  <c r="G46" i="1"/>
  <c r="M46" i="1" s="1"/>
  <c r="J46" i="1"/>
  <c r="G47" i="1"/>
  <c r="M47" i="1" s="1"/>
  <c r="J47" i="1"/>
  <c r="G49" i="1"/>
  <c r="M49" i="1" s="1"/>
  <c r="J49" i="1"/>
  <c r="G50" i="1"/>
  <c r="M50" i="1" s="1"/>
  <c r="J50" i="1"/>
  <c r="G52" i="1"/>
  <c r="G53" i="1"/>
  <c r="G54" i="1"/>
  <c r="G55" i="1"/>
  <c r="G57" i="1"/>
  <c r="M57" i="1" s="1"/>
  <c r="J57" i="1"/>
  <c r="G59" i="1"/>
  <c r="M59" i="1" s="1"/>
  <c r="J59" i="1"/>
  <c r="G61" i="1"/>
  <c r="M61" i="1" s="1"/>
  <c r="J61" i="1"/>
  <c r="G62" i="1"/>
  <c r="M62" i="1" s="1"/>
  <c r="J62" i="1"/>
  <c r="J24" i="1"/>
  <c r="G24" i="1"/>
  <c r="M24" i="1" s="1"/>
  <c r="N34" i="1" l="1"/>
  <c r="L25" i="1"/>
  <c r="L55" i="1"/>
  <c r="M25" i="1"/>
  <c r="M34" i="1"/>
  <c r="M53" i="1"/>
  <c r="N49" i="1"/>
  <c r="O49" i="1" s="1"/>
  <c r="L49" i="1"/>
  <c r="N27" i="1"/>
  <c r="O27" i="1" s="1"/>
  <c r="L27" i="1"/>
  <c r="N59" i="1"/>
  <c r="O59" i="1" s="1"/>
  <c r="L59" i="1"/>
  <c r="M27" i="1"/>
  <c r="N42" i="1"/>
  <c r="O42" i="1" s="1"/>
  <c r="L42" i="1"/>
  <c r="M54" i="1"/>
  <c r="N24" i="1"/>
  <c r="O24" i="1" s="1"/>
  <c r="L24" i="1"/>
  <c r="N52" i="1"/>
  <c r="O52" i="1" s="1"/>
  <c r="L52" i="1"/>
  <c r="N40" i="1"/>
  <c r="O40" i="1" s="1"/>
  <c r="L40" i="1"/>
  <c r="N31" i="1"/>
  <c r="O31" i="1" s="1"/>
  <c r="L31" i="1"/>
  <c r="N62" i="1"/>
  <c r="O62" i="1" s="1"/>
  <c r="L62" i="1"/>
  <c r="N50" i="1"/>
  <c r="O50" i="1" s="1"/>
  <c r="L50" i="1"/>
  <c r="N47" i="1"/>
  <c r="O47" i="1" s="1"/>
  <c r="L47" i="1"/>
  <c r="N39" i="1"/>
  <c r="O39" i="1" s="1"/>
  <c r="L39" i="1"/>
  <c r="N36" i="1"/>
  <c r="O36" i="1" s="1"/>
  <c r="L36" i="1"/>
  <c r="N30" i="1"/>
  <c r="O30" i="1" s="1"/>
  <c r="L30" i="1"/>
  <c r="L28" i="1"/>
  <c r="N26" i="1"/>
  <c r="L26" i="1"/>
  <c r="L33" i="1"/>
  <c r="N43" i="1"/>
  <c r="O43" i="1" s="1"/>
  <c r="L43" i="1"/>
  <c r="M55" i="1"/>
  <c r="L53" i="1"/>
  <c r="N46" i="1"/>
  <c r="O46" i="1" s="1"/>
  <c r="L46" i="1"/>
  <c r="N37" i="1"/>
  <c r="L37" i="1"/>
  <c r="N29" i="1"/>
  <c r="O29" i="1" s="1"/>
  <c r="L29" i="1"/>
  <c r="N61" i="1"/>
  <c r="L61" i="1"/>
  <c r="N57" i="1"/>
  <c r="O57" i="1" s="1"/>
  <c r="L57" i="1"/>
  <c r="L34" i="1"/>
  <c r="M52" i="1"/>
  <c r="L54" i="1"/>
  <c r="N55" i="1"/>
  <c r="O55" i="1" s="1"/>
  <c r="N54" i="1"/>
  <c r="O54" i="1" s="1"/>
  <c r="N53" i="1"/>
  <c r="O53" i="1" s="1"/>
  <c r="N28" i="1"/>
  <c r="O28" i="1" s="1"/>
  <c r="N25" i="1"/>
  <c r="O25" i="1" s="1"/>
  <c r="O61" i="1"/>
  <c r="O33" i="1"/>
  <c r="O26" i="1"/>
  <c r="O37" i="1"/>
  <c r="O34" i="1"/>
  <c r="M64" i="1" l="1"/>
  <c r="D13" i="4" s="1"/>
  <c r="L64" i="1"/>
  <c r="C13" i="4" s="1"/>
  <c r="O64" i="1"/>
  <c r="A19" i="1"/>
  <c r="A20" i="1"/>
  <c r="A22" i="1"/>
  <c r="A23" i="1"/>
  <c r="A64" i="1"/>
  <c r="B7" i="4"/>
  <c r="O8" i="1" l="1"/>
  <c r="G18" i="1" l="1"/>
  <c r="M18" i="1" s="1"/>
  <c r="G17" i="1"/>
  <c r="M17" i="1" s="1"/>
  <c r="G16" i="1"/>
  <c r="M16" i="1" s="1"/>
  <c r="G15" i="1"/>
  <c r="M15" i="1" s="1"/>
  <c r="G14" i="1"/>
  <c r="M14" i="1" s="1"/>
  <c r="G13" i="1"/>
  <c r="M13" i="1" s="1"/>
  <c r="G12" i="1"/>
  <c r="M12" i="1" s="1"/>
  <c r="A12" i="1"/>
  <c r="M20" i="1" l="1"/>
  <c r="D12" i="4" s="1"/>
  <c r="D14" i="4" s="1"/>
  <c r="A13" i="1"/>
  <c r="A14" i="1" l="1"/>
  <c r="A15" i="1" l="1"/>
  <c r="A16" i="1" l="1"/>
  <c r="A17" i="1" l="1"/>
  <c r="B5" i="4"/>
  <c r="A18" i="1" l="1"/>
  <c r="B3" i="4" l="1"/>
  <c r="B2" i="4"/>
  <c r="A65" i="1" l="1"/>
  <c r="P11" i="1" l="1"/>
  <c r="H13" i="1" l="1"/>
  <c r="J13" i="1" s="1"/>
  <c r="H17" i="1"/>
  <c r="J17" i="1" s="1"/>
  <c r="H12" i="1"/>
  <c r="J12" i="1" s="1"/>
  <c r="L12" i="1" s="1"/>
  <c r="H14" i="1"/>
  <c r="J14" i="1" s="1"/>
  <c r="H18" i="1"/>
  <c r="J18" i="1" s="1"/>
  <c r="H15" i="1"/>
  <c r="J15" i="1" s="1"/>
  <c r="H16" i="1"/>
  <c r="J16" i="1" s="1"/>
  <c r="E13" i="4"/>
  <c r="F13" i="4" s="1"/>
  <c r="N14" i="1" l="1"/>
  <c r="O14" i="1" s="1"/>
  <c r="L14" i="1"/>
  <c r="N17" i="1"/>
  <c r="O17" i="1" s="1"/>
  <c r="L17" i="1"/>
  <c r="N16" i="1"/>
  <c r="O16" i="1" s="1"/>
  <c r="L16" i="1"/>
  <c r="N15" i="1"/>
  <c r="O15" i="1" s="1"/>
  <c r="L15" i="1"/>
  <c r="N18" i="1"/>
  <c r="O18" i="1" s="1"/>
  <c r="L18" i="1"/>
  <c r="N13" i="1"/>
  <c r="O13" i="1" s="1"/>
  <c r="L13" i="1"/>
  <c r="L20" i="1" s="1"/>
  <c r="C12" i="4" s="1"/>
  <c r="C14" i="4" s="1"/>
  <c r="N12" i="1"/>
  <c r="O12" i="1" s="1"/>
  <c r="O20" i="1" l="1"/>
  <c r="E12" i="4" l="1"/>
  <c r="O66" i="1"/>
  <c r="O67" i="1"/>
  <c r="O70" i="1"/>
  <c r="O69" i="1"/>
  <c r="B19" i="4"/>
  <c r="B18" i="4"/>
  <c r="B17" i="4"/>
  <c r="B16" i="4"/>
  <c r="A3" i="4"/>
  <c r="A2" i="4"/>
  <c r="F12" i="4" l="1"/>
  <c r="F14" i="4" s="1"/>
  <c r="E14" i="4"/>
  <c r="O68" i="1"/>
  <c r="O71" i="1" s="1"/>
  <c r="E18" i="4" l="1"/>
  <c r="F18" i="4"/>
  <c r="F19" i="4"/>
  <c r="F17" i="4"/>
  <c r="F16" i="4"/>
  <c r="E19" i="4" l="1"/>
  <c r="E17" i="4"/>
  <c r="E16" i="4"/>
  <c r="F20" i="4"/>
  <c r="A24" i="1" l="1"/>
  <c r="A25" i="1" s="1"/>
  <c r="A26" i="1" s="1"/>
  <c r="A27" i="1" s="1"/>
  <c r="A28" i="1" s="1"/>
  <c r="A29" i="1" s="1"/>
  <c r="A30" i="1" s="1"/>
  <c r="A31" i="1" s="1"/>
  <c r="A33" i="1" s="1"/>
  <c r="A34" i="1" s="1"/>
  <c r="A36" i="1" s="1"/>
  <c r="A37" i="1" s="1"/>
  <c r="A39" i="1" s="1"/>
  <c r="A40" i="1" s="1"/>
  <c r="A42" i="1" s="1"/>
  <c r="A43" i="1" s="1"/>
  <c r="A46" i="1" s="1"/>
  <c r="A47" i="1" s="1"/>
  <c r="A49" i="1" s="1"/>
  <c r="A50" i="1" s="1"/>
  <c r="A52" i="1" s="1"/>
  <c r="A53" i="1" s="1"/>
  <c r="A54" i="1" s="1"/>
  <c r="A55" i="1" s="1"/>
  <c r="A57" i="1" s="1"/>
  <c r="A58" i="1" s="1"/>
  <c r="A59" i="1" s="1"/>
  <c r="A61" i="1" s="1"/>
  <c r="A62" i="1" s="1"/>
  <c r="E20" i="4"/>
  <c r="A63" i="1" l="1"/>
</calcChain>
</file>

<file path=xl/sharedStrings.xml><?xml version="1.0" encoding="utf-8"?>
<sst xmlns="http://schemas.openxmlformats.org/spreadsheetml/2006/main" count="140" uniqueCount="99">
  <si>
    <t>DESCRIPTION</t>
  </si>
  <si>
    <t>QUANTITY</t>
  </si>
  <si>
    <t>UNIT</t>
  </si>
  <si>
    <t>INSURANCE</t>
  </si>
  <si>
    <t>LS</t>
  </si>
  <si>
    <t>UNIT COST</t>
  </si>
  <si>
    <t>SR #</t>
  </si>
  <si>
    <t>SF</t>
  </si>
  <si>
    <t>Final Cleaning</t>
  </si>
  <si>
    <t>SUB COST</t>
  </si>
  <si>
    <t>PROJECTED COST</t>
  </si>
  <si>
    <t>SUGGESTED BID</t>
  </si>
  <si>
    <t>No. Of Floors:</t>
  </si>
  <si>
    <t>TOTAL DIV. COST</t>
  </si>
  <si>
    <t>TOTAL TRADE COST</t>
  </si>
  <si>
    <t>CONTINGENCY</t>
  </si>
  <si>
    <t>Date:</t>
  </si>
  <si>
    <t>OVERHEAD AND PROFIT</t>
  </si>
  <si>
    <t>GENERAL REQUIREMENTS</t>
  </si>
  <si>
    <t>Scope:</t>
  </si>
  <si>
    <t>WASTAGE</t>
  </si>
  <si>
    <t>QUANTITY W/ WASTAGE</t>
  </si>
  <si>
    <t>SUBTOTAL</t>
  </si>
  <si>
    <t>TAX</t>
  </si>
  <si>
    <t>GENERAL SUMMARY</t>
  </si>
  <si>
    <t>DETAILED BREAKDOWN OF ITEMS</t>
  </si>
  <si>
    <t>LABOR COST</t>
  </si>
  <si>
    <t>MAT. COST</t>
  </si>
  <si>
    <t>BUILDING GSF</t>
  </si>
  <si>
    <t>1st Floor (SF)</t>
  </si>
  <si>
    <t xml:space="preserve">  </t>
  </si>
  <si>
    <t>Project ID:</t>
  </si>
  <si>
    <t>EA</t>
  </si>
  <si>
    <t>LF</t>
  </si>
  <si>
    <t>Drawing #</t>
  </si>
  <si>
    <t>UNIT MANHOUR</t>
  </si>
  <si>
    <t>HOURLY WAGE</t>
  </si>
  <si>
    <t>FINISHES</t>
  </si>
  <si>
    <t>G.C</t>
  </si>
  <si>
    <t>TOTAL DIV. COST (PER SF)</t>
  </si>
  <si>
    <t>Finishes</t>
  </si>
  <si>
    <t>Permits</t>
  </si>
  <si>
    <t>Supervision and Coordination</t>
  </si>
  <si>
    <t>Submittals and Shop drawings</t>
  </si>
  <si>
    <t>Mobilization Costs</t>
  </si>
  <si>
    <t>Temporary Control &amp; Facilities</t>
  </si>
  <si>
    <t>Scaffolding</t>
  </si>
  <si>
    <t>General Requirements</t>
  </si>
  <si>
    <t>Notes:</t>
  </si>
  <si>
    <t>FLOORING</t>
  </si>
  <si>
    <t>DIVISION NO</t>
  </si>
  <si>
    <t>WALL BASE</t>
  </si>
  <si>
    <t>01 00 00</t>
  </si>
  <si>
    <t>09 00 00</t>
  </si>
  <si>
    <t>SITE GSF</t>
  </si>
  <si>
    <t>OVERALL PROJECT GSF</t>
  </si>
  <si>
    <t>5/8" Gypsum Board</t>
  </si>
  <si>
    <t>Units Legends ; LS=Lumsum, CY= Cubic Yard, SF=Square Footage LF= Linear Footage, EA=Count/Each</t>
  </si>
  <si>
    <t>CEILING</t>
  </si>
  <si>
    <t>DRYWALL</t>
  </si>
  <si>
    <t xml:space="preserve">5/8" Moisture Resistant Gypsum Board </t>
  </si>
  <si>
    <t xml:space="preserve">1" Foam Board </t>
  </si>
  <si>
    <t xml:space="preserve">1/2" Dens Deck </t>
  </si>
  <si>
    <t xml:space="preserve">Dry Wall Screw </t>
  </si>
  <si>
    <t>Lbs</t>
  </si>
  <si>
    <t xml:space="preserve">Joint Compound </t>
  </si>
  <si>
    <t>Sealant</t>
  </si>
  <si>
    <t>Taping</t>
  </si>
  <si>
    <t xml:space="preserve">5/8" GYPSUM BOARD CEILING </t>
  </si>
  <si>
    <t>5/8" MR GYPSUM BOARD CEILING</t>
  </si>
  <si>
    <t>SEALED CONCRETE</t>
  </si>
  <si>
    <t>4" KICKPLATE SET</t>
  </si>
  <si>
    <t xml:space="preserve">VINYL BASE BOARD </t>
  </si>
  <si>
    <t>CERAMIC TILE BASE</t>
  </si>
  <si>
    <t>WALL TILE</t>
  </si>
  <si>
    <t>(WT1) - DALTILE W/_x000D_
- STYLE: LINDEN POINT_x000D_
- COLOR: GRIGIO LP21 _x000D_
- SIZE: 12" X 24" WALL TILE</t>
  </si>
  <si>
    <t>(WT2) - CORRUGATED TIN (1'-8" = H)_x000D_
- 1/4" PROFILE _x000D_
- RED (PANTONE 187) _x000D_
- BACKSPLASH</t>
  </si>
  <si>
    <t xml:space="preserve"> PAINT</t>
  </si>
  <si>
    <t>WALL PAINT</t>
  </si>
  <si>
    <t>P1 - SITE WHITE (9'-0" H)</t>
  </si>
  <si>
    <t>P1 - MR SITE WHITE (9'-0" H)</t>
  </si>
  <si>
    <t xml:space="preserve">CEILING PAINT </t>
  </si>
  <si>
    <t xml:space="preserve">GYPSUM BOARD CEILING PAINT </t>
  </si>
  <si>
    <t xml:space="preserve">MR GYPSUM BOARD CEILING PAINT </t>
  </si>
  <si>
    <t xml:space="preserve">DOORS PAINT </t>
  </si>
  <si>
    <t xml:space="preserve">(3'-0" X 7'-0") EXT HOLLOW METAL DOOR PAINT </t>
  </si>
  <si>
    <t xml:space="preserve">(3'-0" X 7'-0") INT SOLID CORE WOOD DOOR PAINT </t>
  </si>
  <si>
    <t xml:space="preserve">(2'-8" X 6'-8") INT SOLID CORE WOOD DOOR PAINT </t>
  </si>
  <si>
    <t xml:space="preserve">(3'-0" X 3'-0") GABBLE VENT HOLLOW METAL PAINT </t>
  </si>
  <si>
    <t xml:space="preserve">DOOR TRIM PAINT </t>
  </si>
  <si>
    <t xml:space="preserve">WINDOW TRIM PAINT </t>
  </si>
  <si>
    <t>EXTERIOR WORK</t>
  </si>
  <si>
    <t>22 GA PRE-FINISHED CORRUGATED METAL PANELS (MATTE FINISH)</t>
  </si>
  <si>
    <t>PRE-FINISHED METAL FASCIA</t>
  </si>
  <si>
    <t>A1.1</t>
  </si>
  <si>
    <t>1337 W. PETERS ROAD CASA GRANDE, ARIZONA 85193</t>
  </si>
  <si>
    <t>TOTAL MATERIAL COST</t>
  </si>
  <si>
    <t>TOTAL LABOR COST</t>
  </si>
  <si>
    <t>TOTAL MAT.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</si>
</sst>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[$$-409]#,##0"/>
    <numFmt numFmtId="168" formatCode="[$-409]d\-mmm\-yy;@"/>
    <numFmt numFmtId="169" formatCode="0.000"/>
    <numFmt numFmtId="170" formatCode="_-[$$-409]* #,##0.00_ ;_-[$$-409]* \-#,##0.00\ ;_-[$$-409]* &quot;-&quot;??_ ;_-@_ "/>
  </numFmts>
  <fonts count="26" x14ac:knownFonts="1">
    <font>
      <sz val="11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2"/>
      <name val="Arial"/>
      <family val="2"/>
    </font>
    <font>
      <b/>
      <sz val="16"/>
      <color theme="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B3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9A88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4"/>
      <name val="Times New Roman"/>
      <family val="1"/>
    </font>
    <font>
      <b/>
      <sz val="14"/>
      <color rgb="FF009A88"/>
      <name val="Times New Roman"/>
      <family val="1"/>
    </font>
    <font>
      <b/>
      <sz val="11"/>
      <name val="Times New Roman"/>
      <family val="1"/>
    </font>
    <font>
      <b/>
      <sz val="14"/>
      <color theme="0"/>
      <name val="Times New Roman"/>
      <family val="1"/>
    </font>
    <font>
      <b/>
      <sz val="12"/>
      <color rgb="FF0000CC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sz val="8"/>
      <name val="Tw Cen M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rgb="FF013554"/>
        <bgColor indexed="64"/>
      </patternFill>
    </fill>
    <fill>
      <patternFill patternType="solid">
        <fgColor rgb="FF00496A"/>
        <bgColor indexed="64"/>
      </patternFill>
    </fill>
    <fill>
      <patternFill patternType="solid">
        <fgColor rgb="FF4A4C4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" fontId="1" fillId="3" borderId="1">
      <alignment horizontal="center"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5" borderId="26" applyNumberFormat="0" applyFont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66" fontId="0" fillId="3" borderId="0" xfId="0" applyNumberFormat="1" applyFill="1"/>
    <xf numFmtId="0" fontId="0" fillId="3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7" fillId="3" borderId="8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3" fontId="8" fillId="3" borderId="0" xfId="0" applyNumberFormat="1" applyFont="1" applyFill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6" fontId="15" fillId="0" borderId="12" xfId="0" applyNumberFormat="1" applyFont="1" applyBorder="1"/>
    <xf numFmtId="166" fontId="13" fillId="8" borderId="9" xfId="2" applyNumberFormat="1" applyFont="1" applyFill="1" applyBorder="1" applyAlignment="1">
      <alignment vertical="center"/>
    </xf>
    <xf numFmtId="166" fontId="17" fillId="7" borderId="10" xfId="2" applyNumberFormat="1" applyFont="1" applyFill="1" applyBorder="1" applyAlignment="1">
      <alignment horizontal="center" vertical="center"/>
    </xf>
    <xf numFmtId="44" fontId="17" fillId="7" borderId="10" xfId="2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8" fontId="7" fillId="3" borderId="10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3" fontId="19" fillId="3" borderId="0" xfId="0" applyNumberFormat="1" applyFont="1" applyFill="1" applyAlignment="1">
      <alignment horizontal="lef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1" fontId="14" fillId="3" borderId="38" xfId="5" applyNumberFormat="1" applyFont="1" applyFill="1" applyBorder="1" applyAlignment="1">
      <alignment horizontal="center" vertical="center"/>
    </xf>
    <xf numFmtId="1" fontId="14" fillId="3" borderId="39" xfId="5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9" fontId="15" fillId="0" borderId="40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2" fontId="14" fillId="3" borderId="39" xfId="5" applyNumberFormat="1" applyFont="1" applyFill="1" applyBorder="1" applyAlignment="1">
      <alignment horizontal="center" vertical="center"/>
    </xf>
    <xf numFmtId="44" fontId="15" fillId="0" borderId="40" xfId="3" applyFont="1" applyBorder="1" applyAlignment="1">
      <alignment horizontal="center" vertical="center"/>
    </xf>
    <xf numFmtId="44" fontId="15" fillId="0" borderId="40" xfId="0" applyNumberFormat="1" applyFont="1" applyBorder="1" applyAlignment="1">
      <alignment horizontal="center" vertical="center" wrapText="1"/>
    </xf>
    <xf numFmtId="44" fontId="15" fillId="0" borderId="28" xfId="0" applyNumberFormat="1" applyFont="1" applyBorder="1" applyAlignment="1">
      <alignment horizontal="center" vertical="center" wrapText="1"/>
    </xf>
    <xf numFmtId="1" fontId="14" fillId="3" borderId="36" xfId="5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44" fontId="15" fillId="0" borderId="1" xfId="3" applyFont="1" applyBorder="1" applyAlignment="1">
      <alignment horizontal="center" vertical="center"/>
    </xf>
    <xf numFmtId="44" fontId="15" fillId="0" borderId="1" xfId="0" applyNumberFormat="1" applyFont="1" applyBorder="1" applyAlignment="1">
      <alignment horizontal="center" vertical="center" wrapText="1"/>
    </xf>
    <xf numFmtId="166" fontId="15" fillId="0" borderId="12" xfId="0" applyNumberFormat="1" applyFont="1" applyBorder="1" applyAlignment="1">
      <alignment horizontal="center" vertical="center" wrapText="1"/>
    </xf>
    <xf numFmtId="0" fontId="10" fillId="8" borderId="41" xfId="0" applyFont="1" applyFill="1" applyBorder="1" applyAlignment="1">
      <alignment vertical="center"/>
    </xf>
    <xf numFmtId="44" fontId="10" fillId="8" borderId="41" xfId="3" applyFont="1" applyFill="1" applyBorder="1" applyAlignment="1">
      <alignment horizontal="right" vertical="center"/>
    </xf>
    <xf numFmtId="44" fontId="13" fillId="8" borderId="41" xfId="0" applyNumberFormat="1" applyFont="1" applyFill="1" applyBorder="1" applyAlignment="1">
      <alignment horizontal="right" vertical="center" wrapText="1"/>
    </xf>
    <xf numFmtId="166" fontId="13" fillId="8" borderId="45" xfId="0" applyNumberFormat="1" applyFont="1" applyFill="1" applyBorder="1" applyAlignment="1">
      <alignment vertical="center" wrapText="1"/>
    </xf>
    <xf numFmtId="0" fontId="17" fillId="6" borderId="25" xfId="0" applyFont="1" applyFill="1" applyBorder="1" applyAlignment="1">
      <alignment vertical="center"/>
    </xf>
    <xf numFmtId="0" fontId="17" fillId="6" borderId="41" xfId="0" applyFont="1" applyFill="1" applyBorder="1" applyAlignment="1">
      <alignment vertical="center"/>
    </xf>
    <xf numFmtId="0" fontId="13" fillId="6" borderId="44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vertical="center"/>
    </xf>
    <xf numFmtId="0" fontId="13" fillId="6" borderId="41" xfId="0" applyFont="1" applyFill="1" applyBorder="1" applyAlignment="1">
      <alignment vertical="center"/>
    </xf>
    <xf numFmtId="0" fontId="13" fillId="6" borderId="41" xfId="0" applyFont="1" applyFill="1" applyBorder="1" applyAlignment="1">
      <alignment vertical="center" wrapText="1"/>
    </xf>
    <xf numFmtId="0" fontId="13" fillId="6" borderId="45" xfId="0" applyFont="1" applyFill="1" applyBorder="1" applyAlignment="1">
      <alignment vertical="center" wrapText="1"/>
    </xf>
    <xf numFmtId="0" fontId="13" fillId="7" borderId="42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44" fontId="15" fillId="0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169" fontId="15" fillId="0" borderId="1" xfId="0" applyNumberFormat="1" applyFont="1" applyBorder="1" applyAlignment="1">
      <alignment horizontal="center" vertical="center"/>
    </xf>
    <xf numFmtId="1" fontId="14" fillId="3" borderId="1" xfId="5" applyNumberFormat="1" applyFont="1" applyFill="1" applyBorder="1" applyAlignment="1">
      <alignment vertical="center"/>
    </xf>
    <xf numFmtId="0" fontId="15" fillId="3" borderId="8" xfId="5" applyFont="1" applyFill="1" applyBorder="1" applyAlignment="1">
      <alignment horizontal="left" vertical="center" wrapText="1"/>
    </xf>
    <xf numFmtId="0" fontId="15" fillId="3" borderId="0" xfId="5" applyFont="1" applyFill="1" applyBorder="1" applyAlignment="1">
      <alignment horizontal="left" vertical="center" wrapText="1"/>
    </xf>
    <xf numFmtId="0" fontId="14" fillId="3" borderId="0" xfId="5" applyFont="1" applyFill="1" applyBorder="1" applyAlignment="1">
      <alignment horizontal="center" vertical="center"/>
    </xf>
    <xf numFmtId="9" fontId="14" fillId="3" borderId="0" xfId="8" applyFont="1" applyFill="1" applyBorder="1" applyAlignment="1">
      <alignment horizontal="center" vertical="center"/>
    </xf>
    <xf numFmtId="44" fontId="14" fillId="3" borderId="0" xfId="3" applyFont="1" applyFill="1" applyBorder="1" applyAlignment="1" applyProtection="1">
      <alignment horizontal="center" vertical="center"/>
    </xf>
    <xf numFmtId="166" fontId="15" fillId="0" borderId="10" xfId="0" applyNumberFormat="1" applyFont="1" applyBorder="1" applyAlignment="1">
      <alignment horizontal="center" vertical="center" wrapText="1"/>
    </xf>
    <xf numFmtId="1" fontId="14" fillId="3" borderId="1" xfId="5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vertical="center" wrapText="1"/>
    </xf>
    <xf numFmtId="165" fontId="13" fillId="7" borderId="15" xfId="0" applyNumberFormat="1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left" vertical="center"/>
    </xf>
    <xf numFmtId="0" fontId="13" fillId="7" borderId="37" xfId="0" applyFont="1" applyFill="1" applyBorder="1" applyAlignment="1">
      <alignment horizontal="left" vertical="center"/>
    </xf>
    <xf numFmtId="9" fontId="13" fillId="7" borderId="4" xfId="0" applyNumberFormat="1" applyFont="1" applyFill="1" applyBorder="1" applyAlignment="1">
      <alignment horizontal="center" vertical="center" wrapText="1"/>
    </xf>
    <xf numFmtId="167" fontId="13" fillId="7" borderId="13" xfId="0" applyNumberFormat="1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9" fontId="13" fillId="7" borderId="1" xfId="0" applyNumberFormat="1" applyFont="1" applyFill="1" applyBorder="1" applyAlignment="1">
      <alignment horizontal="center" vertical="center" wrapText="1"/>
    </xf>
    <xf numFmtId="167" fontId="13" fillId="7" borderId="12" xfId="0" applyNumberFormat="1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left" vertical="center"/>
    </xf>
    <xf numFmtId="0" fontId="13" fillId="7" borderId="30" xfId="0" applyFont="1" applyFill="1" applyBorder="1" applyAlignment="1">
      <alignment horizontal="left" vertical="center"/>
    </xf>
    <xf numFmtId="0" fontId="13" fillId="7" borderId="30" xfId="0" applyFont="1" applyFill="1" applyBorder="1" applyAlignment="1">
      <alignment horizontal="right" vertical="center"/>
    </xf>
    <xf numFmtId="0" fontId="13" fillId="7" borderId="31" xfId="0" applyFont="1" applyFill="1" applyBorder="1" applyAlignment="1">
      <alignment horizontal="right" vertical="center"/>
    </xf>
    <xf numFmtId="9" fontId="13" fillId="7" borderId="32" xfId="0" applyNumberFormat="1" applyFont="1" applyFill="1" applyBorder="1" applyAlignment="1">
      <alignment horizontal="center" vertical="center" wrapText="1"/>
    </xf>
    <xf numFmtId="167" fontId="13" fillId="7" borderId="33" xfId="0" applyNumberFormat="1" applyFont="1" applyFill="1" applyBorder="1" applyAlignment="1">
      <alignment horizontal="center" vertical="center" wrapText="1"/>
    </xf>
    <xf numFmtId="167" fontId="13" fillId="8" borderId="28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166" fontId="15" fillId="0" borderId="28" xfId="0" applyNumberFormat="1" applyFont="1" applyBorder="1"/>
    <xf numFmtId="0" fontId="13" fillId="6" borderId="20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0" fillId="3" borderId="10" xfId="0" applyFill="1" applyBorder="1"/>
    <xf numFmtId="164" fontId="0" fillId="3" borderId="16" xfId="0" applyNumberFormat="1" applyFill="1" applyBorder="1"/>
    <xf numFmtId="0" fontId="0" fillId="3" borderId="16" xfId="0" applyFill="1" applyBorder="1"/>
    <xf numFmtId="0" fontId="0" fillId="3" borderId="17" xfId="0" applyFill="1" applyBorder="1"/>
    <xf numFmtId="0" fontId="15" fillId="0" borderId="1" xfId="0" applyFont="1" applyBorder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 wrapText="1"/>
    </xf>
    <xf numFmtId="166" fontId="10" fillId="3" borderId="0" xfId="0" applyNumberFormat="1" applyFont="1" applyFill="1" applyAlignment="1">
      <alignment horizontal="right"/>
    </xf>
    <xf numFmtId="168" fontId="11" fillId="3" borderId="0" xfId="0" applyNumberFormat="1" applyFont="1" applyFill="1" applyAlignment="1">
      <alignment horizontal="left" vertical="center"/>
    </xf>
    <xf numFmtId="44" fontId="0" fillId="3" borderId="0" xfId="0" applyNumberFormat="1" applyFill="1"/>
    <xf numFmtId="9" fontId="13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 wrapText="1"/>
    </xf>
    <xf numFmtId="1" fontId="15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168" fontId="7" fillId="3" borderId="0" xfId="0" applyNumberFormat="1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6" fillId="3" borderId="28" xfId="3" applyNumberFormat="1" applyFont="1" applyFill="1" applyBorder="1"/>
    <xf numFmtId="3" fontId="13" fillId="8" borderId="37" xfId="0" applyNumberFormat="1" applyFont="1" applyFill="1" applyBorder="1" applyAlignment="1">
      <alignment horizontal="center"/>
    </xf>
    <xf numFmtId="0" fontId="13" fillId="8" borderId="25" xfId="0" applyFont="1" applyFill="1" applyBorder="1" applyAlignment="1">
      <alignment horizontal="left" vertical="center"/>
    </xf>
    <xf numFmtId="166" fontId="10" fillId="8" borderId="41" xfId="0" applyNumberFormat="1" applyFont="1" applyFill="1" applyBorder="1" applyAlignment="1">
      <alignment horizontal="right"/>
    </xf>
    <xf numFmtId="0" fontId="13" fillId="10" borderId="8" xfId="0" applyFont="1" applyFill="1" applyBorder="1" applyAlignment="1">
      <alignment horizontal="left" vertical="center"/>
    </xf>
    <xf numFmtId="166" fontId="10" fillId="10" borderId="0" xfId="0" applyNumberFormat="1" applyFont="1" applyFill="1" applyAlignment="1">
      <alignment horizontal="right"/>
    </xf>
    <xf numFmtId="3" fontId="13" fillId="10" borderId="0" xfId="0" applyNumberFormat="1" applyFont="1" applyFill="1" applyAlignment="1">
      <alignment horizontal="center"/>
    </xf>
    <xf numFmtId="0" fontId="13" fillId="10" borderId="48" xfId="0" applyFont="1" applyFill="1" applyBorder="1" applyAlignment="1">
      <alignment horizontal="left" vertical="center"/>
    </xf>
    <xf numFmtId="3" fontId="13" fillId="10" borderId="41" xfId="0" applyNumberFormat="1" applyFont="1" applyFill="1" applyBorder="1" applyAlignment="1">
      <alignment horizontal="center"/>
    </xf>
    <xf numFmtId="166" fontId="10" fillId="10" borderId="44" xfId="0" applyNumberFormat="1" applyFont="1" applyFill="1" applyBorder="1" applyAlignment="1">
      <alignment horizontal="right"/>
    </xf>
    <xf numFmtId="0" fontId="13" fillId="10" borderId="25" xfId="0" applyFont="1" applyFill="1" applyBorder="1" applyAlignment="1">
      <alignment horizontal="left" vertical="center"/>
    </xf>
    <xf numFmtId="3" fontId="13" fillId="10" borderId="37" xfId="0" applyNumberFormat="1" applyFont="1" applyFill="1" applyBorder="1" applyAlignment="1">
      <alignment horizontal="center"/>
    </xf>
    <xf numFmtId="166" fontId="10" fillId="10" borderId="41" xfId="0" applyNumberFormat="1" applyFont="1" applyFill="1" applyBorder="1" applyAlignment="1">
      <alignment horizontal="right"/>
    </xf>
    <xf numFmtId="0" fontId="13" fillId="7" borderId="8" xfId="0" applyFont="1" applyFill="1" applyBorder="1" applyAlignment="1">
      <alignment horizontal="left" vertical="center"/>
    </xf>
    <xf numFmtId="0" fontId="0" fillId="10" borderId="49" xfId="0" applyFill="1" applyBorder="1"/>
    <xf numFmtId="0" fontId="0" fillId="10" borderId="43" xfId="0" applyFill="1" applyBorder="1"/>
    <xf numFmtId="0" fontId="0" fillId="10" borderId="36" xfId="0" applyFill="1" applyBorder="1"/>
    <xf numFmtId="0" fontId="0" fillId="8" borderId="36" xfId="0" applyFill="1" applyBorder="1"/>
    <xf numFmtId="0" fontId="10" fillId="8" borderId="41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4" fontId="15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11" borderId="41" xfId="0" applyFont="1" applyFill="1" applyBorder="1" applyAlignment="1">
      <alignment vertical="center"/>
    </xf>
    <xf numFmtId="0" fontId="13" fillId="11" borderId="44" xfId="0" applyFont="1" applyFill="1" applyBorder="1" applyAlignment="1">
      <alignment horizontal="center" vertical="center"/>
    </xf>
    <xf numFmtId="0" fontId="13" fillId="11" borderId="41" xfId="0" applyFont="1" applyFill="1" applyBorder="1" applyAlignment="1">
      <alignment vertical="center" wrapText="1"/>
    </xf>
    <xf numFmtId="0" fontId="13" fillId="11" borderId="45" xfId="0" applyFont="1" applyFill="1" applyBorder="1" applyAlignment="1">
      <alignment vertical="center" wrapText="1"/>
    </xf>
    <xf numFmtId="0" fontId="17" fillId="11" borderId="41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21" fillId="11" borderId="41" xfId="0" applyFont="1" applyFill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5" fillId="3" borderId="8" xfId="0" applyFont="1" applyFill="1" applyBorder="1" applyAlignment="1">
      <alignment vertical="center"/>
    </xf>
    <xf numFmtId="164" fontId="15" fillId="3" borderId="8" xfId="0" applyNumberFormat="1" applyFont="1" applyFill="1" applyBorder="1" applyAlignment="1">
      <alignment vertical="center"/>
    </xf>
    <xf numFmtId="9" fontId="15" fillId="3" borderId="8" xfId="8" applyFont="1" applyFill="1" applyBorder="1" applyAlignment="1">
      <alignment vertical="center"/>
    </xf>
    <xf numFmtId="9" fontId="15" fillId="3" borderId="0" xfId="8" applyFont="1" applyFill="1" applyAlignment="1">
      <alignment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70" fontId="16" fillId="0" borderId="0" xfId="0" applyNumberFormat="1" applyFont="1" applyAlignment="1">
      <alignment horizontal="center" vertical="center"/>
    </xf>
    <xf numFmtId="170" fontId="13" fillId="6" borderId="22" xfId="0" applyNumberFormat="1" applyFont="1" applyFill="1" applyBorder="1" applyAlignment="1">
      <alignment horizontal="center" vertical="center" wrapText="1"/>
    </xf>
    <xf numFmtId="170" fontId="21" fillId="11" borderId="41" xfId="0" applyNumberFormat="1" applyFont="1" applyFill="1" applyBorder="1" applyAlignment="1">
      <alignment vertical="center"/>
    </xf>
    <xf numFmtId="170" fontId="13" fillId="6" borderId="41" xfId="0" applyNumberFormat="1" applyFont="1" applyFill="1" applyBorder="1" applyAlignment="1">
      <alignment vertical="center"/>
    </xf>
    <xf numFmtId="170" fontId="14" fillId="3" borderId="39" xfId="5" applyNumberFormat="1" applyFont="1" applyFill="1" applyBorder="1" applyAlignment="1">
      <alignment horizontal="center" vertical="center"/>
    </xf>
    <xf numFmtId="170" fontId="10" fillId="8" borderId="41" xfId="0" applyNumberFormat="1" applyFont="1" applyFill="1" applyBorder="1" applyAlignment="1">
      <alignment vertical="center"/>
    </xf>
    <xf numFmtId="170" fontId="15" fillId="0" borderId="1" xfId="0" applyNumberFormat="1" applyFont="1" applyBorder="1" applyAlignment="1">
      <alignment horizontal="center" vertical="center"/>
    </xf>
    <xf numFmtId="170" fontId="15" fillId="0" borderId="0" xfId="0" applyNumberFormat="1" applyFont="1" applyAlignment="1">
      <alignment horizontal="center" vertical="center"/>
    </xf>
    <xf numFmtId="170" fontId="13" fillId="7" borderId="5" xfId="0" applyNumberFormat="1" applyFont="1" applyFill="1" applyBorder="1" applyAlignment="1">
      <alignment horizontal="right" vertical="center"/>
    </xf>
    <xf numFmtId="170" fontId="13" fillId="7" borderId="30" xfId="0" applyNumberFormat="1" applyFont="1" applyFill="1" applyBorder="1" applyAlignment="1">
      <alignment horizontal="right" vertical="center"/>
    </xf>
    <xf numFmtId="170" fontId="23" fillId="0" borderId="0" xfId="0" applyNumberFormat="1" applyFont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3" fontId="13" fillId="10" borderId="44" xfId="0" applyNumberFormat="1" applyFont="1" applyFill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3" fillId="8" borderId="17" xfId="0" applyFont="1" applyFill="1" applyBorder="1" applyAlignment="1">
      <alignment horizontal="center" vertical="center"/>
    </xf>
    <xf numFmtId="44" fontId="14" fillId="0" borderId="50" xfId="0" applyNumberFormat="1" applyFont="1" applyBorder="1" applyAlignment="1">
      <alignment vertical="center"/>
    </xf>
    <xf numFmtId="0" fontId="13" fillId="7" borderId="39" xfId="0" applyFont="1" applyFill="1" applyBorder="1" applyAlignment="1">
      <alignment horizontal="right" vertical="center"/>
    </xf>
    <xf numFmtId="0" fontId="13" fillId="7" borderId="51" xfId="0" applyFont="1" applyFill="1" applyBorder="1" applyAlignment="1">
      <alignment horizontal="right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10" fillId="3" borderId="44" xfId="0" applyFont="1" applyFill="1" applyBorder="1" applyAlignment="1">
      <alignment vertical="center"/>
    </xf>
    <xf numFmtId="170" fontId="10" fillId="3" borderId="41" xfId="0" applyNumberFormat="1" applyFont="1" applyFill="1" applyBorder="1" applyAlignment="1">
      <alignment vertical="center"/>
    </xf>
    <xf numFmtId="44" fontId="10" fillId="3" borderId="41" xfId="3" applyFont="1" applyFill="1" applyBorder="1" applyAlignment="1">
      <alignment horizontal="right" vertical="center"/>
    </xf>
    <xf numFmtId="166" fontId="13" fillId="3" borderId="41" xfId="0" applyNumberFormat="1" applyFont="1" applyFill="1" applyBorder="1" applyAlignment="1">
      <alignment vertical="center" wrapText="1"/>
    </xf>
    <xf numFmtId="44" fontId="13" fillId="3" borderId="41" xfId="0" applyNumberFormat="1" applyFont="1" applyFill="1" applyBorder="1" applyAlignment="1">
      <alignment horizontal="right" vertical="center" wrapText="1"/>
    </xf>
    <xf numFmtId="166" fontId="13" fillId="3" borderId="45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right" vertical="center"/>
    </xf>
    <xf numFmtId="0" fontId="13" fillId="8" borderId="9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4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right" vertical="center"/>
    </xf>
    <xf numFmtId="0" fontId="13" fillId="7" borderId="5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1" fontId="24" fillId="3" borderId="7" xfId="5" applyNumberFormat="1" applyFont="1" applyFill="1" applyBorder="1" applyAlignment="1">
      <alignment horizontal="center" vertical="center"/>
    </xf>
    <xf numFmtId="1" fontId="24" fillId="3" borderId="46" xfId="5" applyNumberFormat="1" applyFont="1" applyFill="1" applyBorder="1" applyAlignment="1">
      <alignment horizontal="center" vertical="center"/>
    </xf>
    <xf numFmtId="1" fontId="24" fillId="3" borderId="40" xfId="5" applyNumberFormat="1" applyFont="1" applyFill="1" applyBorder="1" applyAlignment="1">
      <alignment horizontal="center" vertical="center"/>
    </xf>
  </cellXfs>
  <cellStyles count="9">
    <cellStyle name="Currency" xfId="3" builtinId="4"/>
    <cellStyle name="Currency 2" xfId="2" xr:uid="{00000000-0005-0000-0000-000001000000}"/>
    <cellStyle name="Currency 3" xfId="7" xr:uid="{A3D0DE26-26CF-485F-BB72-CF57C9BAEF9A}"/>
    <cellStyle name="Normal" xfId="0" builtinId="0"/>
    <cellStyle name="Normal 2 3" xfId="4" xr:uid="{00000000-0005-0000-0000-000003000000}"/>
    <cellStyle name="Note" xfId="5" builtinId="10"/>
    <cellStyle name="Percent" xfId="8" builtinId="5"/>
    <cellStyle name="Percent 2" xfId="6" xr:uid="{894EF222-2471-43AC-9800-881BA9AA9091}"/>
    <cellStyle name="Style 1" xfId="1" xr:uid="{00000000-0005-0000-0000-000004000000}"/>
  </cellStyles>
  <dxfs count="0"/>
  <tableStyles count="0" defaultTableStyle="TableStyleMedium9" defaultPivotStyle="PivotStyleLight16"/>
  <colors>
    <mruColors>
      <color rgb="FF4A4C4C"/>
      <color rgb="FF013554"/>
      <color rgb="FF00496A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DIVISION COST COMPARISON</c:v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'General Summary'!$B$12:$B$13</c:f>
              <c:strCache>
                <c:ptCount val="2"/>
                <c:pt idx="0">
                  <c:v>General Requirements</c:v>
                </c:pt>
                <c:pt idx="1">
                  <c:v>Finishes</c:v>
                </c:pt>
              </c:strCache>
            </c:strRef>
          </c:cat>
          <c:val>
            <c:numRef>
              <c:f>'General Summary'!$E$12:$E$13</c:f>
              <c:numCache>
                <c:formatCode>_("$"* #,##0_);_("$"* \(#,##0\);_("$"* "-"??_);_(@_)</c:formatCode>
                <c:ptCount val="2"/>
                <c:pt idx="0">
                  <c:v>2371.9581141666663</c:v>
                </c:pt>
                <c:pt idx="1">
                  <c:v>19766.317618055553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8A-43C0-9BDF-5ADCB332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25215184"/>
        <c:axId val="525188976"/>
      </c:barChart>
      <c:catAx>
        <c:axId val="5252151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188976"/>
        <c:crosses val="autoZero"/>
        <c:auto val="1"/>
        <c:lblAlgn val="ctr"/>
        <c:lblOffset val="100"/>
        <c:noMultiLvlLbl val="0"/>
      </c:catAx>
      <c:valAx>
        <c:axId val="525188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1333500</xdr:colOff>
      <xdr:row>10</xdr:row>
      <xdr:rowOff>0</xdr:rowOff>
    </xdr:from>
    <xdr:to>
      <xdr:col>14</xdr:col>
      <xdr:colOff>661147</xdr:colOff>
      <xdr:row>19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D37AD-DFDF-5416-2814-CD180CDD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868547</xdr:colOff>
      <xdr:row>1</xdr:row>
      <xdr:rowOff>3635</xdr:rowOff>
    </xdr:from>
    <xdr:to>
      <xdr:col>5</xdr:col>
      <xdr:colOff>1198650</xdr:colOff>
      <xdr:row>5</xdr:row>
      <xdr:rowOff>156965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EECA04-8556-205A-288B-B18ADC093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45289" y="260489"/>
          <a:ext cx="1671451" cy="1038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457200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7412386-664B-4E9A-89CC-75563F337391}"/>
            </a:ext>
          </a:extLst>
        </xdr:cNvPr>
        <xdr:cNvSpPr txBox="1"/>
      </xdr:nvSpPr>
      <xdr:spPr>
        <a:xfrm>
          <a:off x="1466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435432</xdr:colOff>
      <xdr:row>2</xdr:row>
      <xdr:rowOff>15095</xdr:rowOff>
    </xdr:from>
    <xdr:to>
      <xdr:col>16</xdr:col>
      <xdr:colOff>9072</xdr:colOff>
      <xdr:row>7</xdr:row>
      <xdr:rowOff>1884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406230-3B55-B417-49C3-8AD24217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9503" y="278166"/>
          <a:ext cx="1378855" cy="9755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O35"/>
  <sheetViews>
    <sheetView view="pageBreakPreview" zoomScale="89" zoomScaleNormal="100" zoomScaleSheetLayoutView="89" workbookViewId="0">
      <selection activeCell="D18" sqref="D18"/>
    </sheetView>
  </sheetViews>
  <sheetFormatPr defaultColWidth="9" defaultRowHeight="14" x14ac:dyDescent="0.3"/>
  <cols>
    <col min="1" max="1" width="24.6640625" style="6" customWidth="1"/>
    <col min="2" max="2" width="44.1640625" style="6" customWidth="1"/>
    <col min="3" max="3" width="18.58203125" style="6" customWidth="1"/>
    <col min="4" max="4" width="17.33203125" style="6" customWidth="1"/>
    <col min="5" max="6" width="17.58203125" style="7" customWidth="1"/>
    <col min="7" max="14" width="9" style="6"/>
    <col min="15" max="15" width="6.5" style="6" customWidth="1"/>
    <col min="16" max="16384" width="9" style="6"/>
  </cols>
  <sheetData>
    <row r="1" spans="1:15" ht="20.5" thickBot="1" x14ac:dyDescent="0.35">
      <c r="A1" s="204" t="s">
        <v>24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6"/>
    </row>
    <row r="2" spans="1:15" ht="17.5" x14ac:dyDescent="0.3">
      <c r="A2" s="10" t="str">
        <f>'Takeoff Breakdown'!A3</f>
        <v>Project ID:</v>
      </c>
      <c r="B2" s="128" t="str">
        <f>'Takeoff Breakdown'!B3</f>
        <v>1337 W. PETERS ROAD CASA GRANDE, ARIZONA 85193</v>
      </c>
      <c r="C2" s="128"/>
      <c r="D2" s="128"/>
      <c r="E2" s="106"/>
      <c r="F2" s="6"/>
      <c r="O2" s="101"/>
    </row>
    <row r="3" spans="1:15" ht="17.5" x14ac:dyDescent="0.3">
      <c r="A3" s="10" t="str">
        <f>'Takeoff Breakdown'!A4</f>
        <v>Scope:</v>
      </c>
      <c r="B3" s="129" t="str">
        <f>'Takeoff Breakdown'!B4</f>
        <v>G.C</v>
      </c>
      <c r="C3" s="129"/>
      <c r="D3" s="129"/>
      <c r="E3" s="107"/>
      <c r="F3" s="6"/>
      <c r="O3" s="101"/>
    </row>
    <row r="4" spans="1:15" customFormat="1" ht="17.5" x14ac:dyDescent="0.3">
      <c r="A4" s="10" t="s">
        <v>12</v>
      </c>
      <c r="B4" s="130">
        <v>1</v>
      </c>
      <c r="C4" s="130"/>
      <c r="D4" s="130"/>
      <c r="E4" s="107"/>
      <c r="F4" s="6"/>
      <c r="G4" s="6"/>
      <c r="H4" s="6"/>
      <c r="I4" s="6"/>
      <c r="J4" s="6"/>
      <c r="K4" s="6"/>
      <c r="L4" s="6"/>
      <c r="M4" s="6"/>
      <c r="N4" s="6"/>
      <c r="O4" s="101"/>
    </row>
    <row r="5" spans="1:15" ht="17.5" x14ac:dyDescent="0.3">
      <c r="A5" s="10" t="s">
        <v>16</v>
      </c>
      <c r="B5" s="131">
        <f ca="1">'Takeoff Breakdown'!O8</f>
        <v>46095</v>
      </c>
      <c r="C5" s="131"/>
      <c r="D5" s="131"/>
      <c r="E5" s="108"/>
      <c r="F5" s="6"/>
      <c r="O5" s="101"/>
    </row>
    <row r="6" spans="1:15" ht="15" x14ac:dyDescent="0.3">
      <c r="A6" s="13"/>
      <c r="B6" s="109"/>
      <c r="C6" s="109"/>
      <c r="D6" s="109"/>
      <c r="E6" s="108"/>
      <c r="F6" s="6"/>
      <c r="O6" s="101"/>
    </row>
    <row r="7" spans="1:15" ht="18.649999999999999" customHeight="1" x14ac:dyDescent="0.3">
      <c r="A7" s="139" t="s">
        <v>55</v>
      </c>
      <c r="B7" s="141">
        <f>B8+B9</f>
        <v>1412</v>
      </c>
      <c r="C7" s="141"/>
      <c r="D7" s="141"/>
      <c r="E7" s="140"/>
      <c r="F7" s="149"/>
      <c r="O7" s="101"/>
    </row>
    <row r="8" spans="1:15" ht="18.649999999999999" customHeight="1" x14ac:dyDescent="0.3">
      <c r="A8" s="142" t="s">
        <v>54</v>
      </c>
      <c r="B8" s="143">
        <v>1068</v>
      </c>
      <c r="C8" s="185"/>
      <c r="D8" s="185"/>
      <c r="E8" s="144"/>
      <c r="F8" s="150"/>
      <c r="O8" s="101"/>
    </row>
    <row r="9" spans="1:15" ht="18.649999999999999" customHeight="1" x14ac:dyDescent="0.3">
      <c r="A9" s="145" t="s">
        <v>28</v>
      </c>
      <c r="B9" s="146">
        <f>B10</f>
        <v>344</v>
      </c>
      <c r="C9" s="146"/>
      <c r="D9" s="146"/>
      <c r="E9" s="147"/>
      <c r="F9" s="151"/>
      <c r="O9" s="101"/>
    </row>
    <row r="10" spans="1:15" ht="15.5" thickBot="1" x14ac:dyDescent="0.35">
      <c r="A10" s="137" t="s">
        <v>29</v>
      </c>
      <c r="B10" s="136">
        <v>344</v>
      </c>
      <c r="C10" s="136"/>
      <c r="D10" s="136"/>
      <c r="E10" s="138"/>
      <c r="F10" s="152"/>
      <c r="O10" s="101"/>
    </row>
    <row r="11" spans="1:15" ht="45.5" thickBot="1" x14ac:dyDescent="0.35">
      <c r="A11" s="98" t="s">
        <v>50</v>
      </c>
      <c r="B11" s="99" t="s">
        <v>0</v>
      </c>
      <c r="C11" s="100" t="s">
        <v>97</v>
      </c>
      <c r="D11" s="100" t="s">
        <v>96</v>
      </c>
      <c r="E11" s="100" t="s">
        <v>13</v>
      </c>
      <c r="F11" s="100" t="s">
        <v>39</v>
      </c>
      <c r="O11" s="101"/>
    </row>
    <row r="12" spans="1:15" ht="15.5" x14ac:dyDescent="0.35">
      <c r="A12" s="95" t="s">
        <v>52</v>
      </c>
      <c r="B12" s="96" t="s">
        <v>47</v>
      </c>
      <c r="C12" s="188">
        <f>'Takeoff Breakdown'!L20</f>
        <v>2371.9581141666663</v>
      </c>
      <c r="D12" s="188">
        <f>'Takeoff Breakdown'!M20</f>
        <v>0</v>
      </c>
      <c r="E12" s="97">
        <f>'Takeoff Breakdown'!O20</f>
        <v>2371.9581141666663</v>
      </c>
      <c r="F12" s="135">
        <f>E12/$B$7</f>
        <v>1.6798570213644946</v>
      </c>
      <c r="O12" s="101"/>
    </row>
    <row r="13" spans="1:15" ht="16" thickBot="1" x14ac:dyDescent="0.4">
      <c r="A13" s="14" t="s">
        <v>53</v>
      </c>
      <c r="B13" s="15" t="s">
        <v>40</v>
      </c>
      <c r="C13" s="186">
        <f>'Takeoff Breakdown'!L64</f>
        <v>11397.012611111111</v>
      </c>
      <c r="D13" s="186">
        <f>'Takeoff Breakdown'!M64</f>
        <v>8369.3050069444434</v>
      </c>
      <c r="E13" s="16">
        <f>'Takeoff Breakdown'!O64</f>
        <v>19766.317618055553</v>
      </c>
      <c r="F13" s="135">
        <f t="shared" ref="F13" si="0">E13/$B$9</f>
        <v>57.460225633882423</v>
      </c>
      <c r="O13" s="101"/>
    </row>
    <row r="14" spans="1:15" ht="15.5" thickBot="1" x14ac:dyDescent="0.35">
      <c r="A14" s="200" t="s">
        <v>14</v>
      </c>
      <c r="B14" s="200"/>
      <c r="C14" s="17">
        <f>SUM(C12:C13)</f>
        <v>13768.970725277777</v>
      </c>
      <c r="D14" s="17">
        <f>SUM(D12:D13)</f>
        <v>8369.3050069444434</v>
      </c>
      <c r="E14" s="17">
        <f>SUM(E12:E13)</f>
        <v>22138.275732222221</v>
      </c>
      <c r="F14" s="17">
        <f>SUM(F12:F13)</f>
        <v>59.140082655246921</v>
      </c>
      <c r="H14" s="110"/>
      <c r="O14" s="101"/>
    </row>
    <row r="15" spans="1:15" ht="15.5" thickBot="1" x14ac:dyDescent="0.35">
      <c r="A15" s="201"/>
      <c r="B15" s="201"/>
      <c r="C15" s="201"/>
      <c r="D15" s="201"/>
      <c r="E15" s="201"/>
      <c r="F15" s="201"/>
      <c r="O15" s="101"/>
    </row>
    <row r="16" spans="1:15" ht="15.5" x14ac:dyDescent="0.3">
      <c r="A16" s="148" t="s">
        <v>17</v>
      </c>
      <c r="B16" s="111">
        <f>+'Takeoff Breakdown'!N67</f>
        <v>0.15</v>
      </c>
      <c r="C16" s="111"/>
      <c r="D16" s="111"/>
      <c r="E16" s="18">
        <f>E14*B16</f>
        <v>3320.7413598333328</v>
      </c>
      <c r="F16" s="19">
        <f>F14*B16</f>
        <v>8.8710123982870375</v>
      </c>
      <c r="G16" s="110"/>
      <c r="H16" s="110"/>
      <c r="O16" s="101"/>
    </row>
    <row r="17" spans="1:15" ht="15.5" x14ac:dyDescent="0.3">
      <c r="A17" s="148" t="s">
        <v>3</v>
      </c>
      <c r="B17" s="111">
        <f>+'Takeoff Breakdown'!N68</f>
        <v>0</v>
      </c>
      <c r="C17" s="111"/>
      <c r="D17" s="111"/>
      <c r="E17" s="18">
        <f>E14*B17</f>
        <v>0</v>
      </c>
      <c r="F17" s="18">
        <f>F14*B17</f>
        <v>0</v>
      </c>
      <c r="O17" s="101"/>
    </row>
    <row r="18" spans="1:15" ht="15.5" x14ac:dyDescent="0.3">
      <c r="A18" s="148" t="s">
        <v>15</v>
      </c>
      <c r="B18" s="111">
        <f>+'Takeoff Breakdown'!N69</f>
        <v>0.05</v>
      </c>
      <c r="C18" s="111"/>
      <c r="D18" s="111"/>
      <c r="E18" s="18">
        <f>E14*B18</f>
        <v>1106.9137866111112</v>
      </c>
      <c r="F18" s="18">
        <f>F14*B18</f>
        <v>2.9570041327623464</v>
      </c>
      <c r="O18" s="101"/>
    </row>
    <row r="19" spans="1:15" ht="16" thickBot="1" x14ac:dyDescent="0.35">
      <c r="A19" s="148" t="s">
        <v>23</v>
      </c>
      <c r="B19" s="111">
        <f>'Takeoff Breakdown'!N70</f>
        <v>9.7000000000000003E-2</v>
      </c>
      <c r="C19" s="111"/>
      <c r="D19" s="111"/>
      <c r="E19" s="18">
        <f>E14*B19</f>
        <v>2147.4127460255554</v>
      </c>
      <c r="F19" s="18">
        <f>F14*B19</f>
        <v>5.7365880175589519</v>
      </c>
      <c r="O19" s="101"/>
    </row>
    <row r="20" spans="1:15" ht="15.5" thickBot="1" x14ac:dyDescent="0.35">
      <c r="A20" s="202" t="s">
        <v>11</v>
      </c>
      <c r="B20" s="203"/>
      <c r="C20" s="187"/>
      <c r="D20" s="187"/>
      <c r="E20" s="17">
        <f>SUM(E14,E16:E19)</f>
        <v>28713.343624692221</v>
      </c>
      <c r="F20" s="17">
        <f>SUM(F14,F16:F19)</f>
        <v>76.704687203855272</v>
      </c>
      <c r="G20" s="102"/>
      <c r="H20" s="103"/>
      <c r="I20" s="103"/>
      <c r="J20" s="103"/>
      <c r="K20" s="103"/>
      <c r="L20" s="103"/>
      <c r="M20" s="103"/>
      <c r="N20" s="103"/>
      <c r="O20" s="104"/>
    </row>
    <row r="27" spans="1:15" x14ac:dyDescent="0.3">
      <c r="E27" s="6"/>
      <c r="F27" s="6"/>
    </row>
    <row r="28" spans="1:15" x14ac:dyDescent="0.3">
      <c r="E28" s="6"/>
      <c r="F28" s="6"/>
    </row>
    <row r="29" spans="1:15" x14ac:dyDescent="0.3">
      <c r="E29" s="6"/>
      <c r="F29" s="6"/>
    </row>
    <row r="30" spans="1:15" x14ac:dyDescent="0.3">
      <c r="E30" s="6"/>
      <c r="F30" s="6"/>
    </row>
    <row r="31" spans="1:15" x14ac:dyDescent="0.3">
      <c r="E31" s="6"/>
      <c r="F31" s="6"/>
    </row>
    <row r="32" spans="1:15" x14ac:dyDescent="0.3">
      <c r="E32" s="6"/>
      <c r="F32" s="6"/>
    </row>
    <row r="33" s="6" customFormat="1" x14ac:dyDescent="0.3"/>
    <row r="34" s="6" customFormat="1" x14ac:dyDescent="0.3"/>
    <row r="35" s="6" customFormat="1" x14ac:dyDescent="0.3"/>
  </sheetData>
  <mergeCells count="4">
    <mergeCell ref="A14:B14"/>
    <mergeCell ref="A15:F15"/>
    <mergeCell ref="A20:B20"/>
    <mergeCell ref="A1:O1"/>
  </mergeCells>
  <phoneticPr fontId="25" type="noConversion"/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M74"/>
  <sheetViews>
    <sheetView showGridLines="0" tabSelected="1" topLeftCell="C2" zoomScale="70" zoomScaleNormal="70" zoomScaleSheetLayoutView="115" workbookViewId="0">
      <selection activeCell="Q5" sqref="Q5"/>
    </sheetView>
  </sheetViews>
  <sheetFormatPr defaultColWidth="9" defaultRowHeight="15.5" x14ac:dyDescent="0.3"/>
  <cols>
    <col min="1" max="2" width="16" style="4" customWidth="1"/>
    <col min="3" max="3" width="73" style="4" customWidth="1"/>
    <col min="4" max="4" width="10.58203125" style="4" customWidth="1"/>
    <col min="5" max="5" width="12.1640625" style="5" customWidth="1"/>
    <col min="6" max="6" width="11.08203125" style="5" customWidth="1"/>
    <col min="7" max="7" width="14.9140625" style="5" customWidth="1"/>
    <col min="8" max="8" width="12.08203125" style="5" customWidth="1"/>
    <col min="9" max="9" width="10" style="184" customWidth="1"/>
    <col min="10" max="10" width="12.58203125" style="4" customWidth="1"/>
    <col min="11" max="11" width="11.58203125" style="4" customWidth="1"/>
    <col min="12" max="12" width="13.6640625" style="4" customWidth="1"/>
    <col min="13" max="13" width="11.58203125" style="4" customWidth="1"/>
    <col min="14" max="14" width="12.08203125" style="8" customWidth="1"/>
    <col min="15" max="15" width="11.5" style="8" customWidth="1"/>
    <col min="16" max="16" width="11.58203125" style="157" hidden="1" customWidth="1"/>
    <col min="17" max="16384" width="9" style="4"/>
  </cols>
  <sheetData>
    <row r="1" spans="1:65" s="1" customFormat="1" ht="15" hidden="1" customHeight="1" thickTop="1" x14ac:dyDescent="0.3">
      <c r="A1" s="2"/>
      <c r="B1" s="3"/>
      <c r="C1" s="3"/>
      <c r="D1" s="3"/>
      <c r="E1" s="3"/>
      <c r="F1" s="3"/>
      <c r="G1" s="3"/>
      <c r="H1" s="3"/>
      <c r="I1" s="171"/>
      <c r="J1" s="3"/>
      <c r="K1" s="3"/>
      <c r="L1" s="3"/>
      <c r="M1" s="3"/>
      <c r="N1" s="3"/>
      <c r="O1" s="3"/>
      <c r="P1" s="158"/>
    </row>
    <row r="2" spans="1:65" ht="20.5" thickBot="1" x14ac:dyDescent="0.35">
      <c r="A2" s="204" t="s">
        <v>25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6"/>
    </row>
    <row r="3" spans="1:65" ht="18" customHeight="1" x14ac:dyDescent="0.3">
      <c r="A3" s="20" t="s">
        <v>31</v>
      </c>
      <c r="B3" s="128" t="s">
        <v>95</v>
      </c>
      <c r="C3" s="113"/>
      <c r="D3" s="23"/>
      <c r="E3" s="24"/>
      <c r="F3" s="24"/>
      <c r="G3" s="24"/>
      <c r="H3" s="24"/>
      <c r="I3" s="172"/>
      <c r="J3" s="21"/>
      <c r="K3" s="21"/>
      <c r="L3" s="21"/>
      <c r="M3" s="21"/>
      <c r="N3" s="11"/>
      <c r="O3" s="22"/>
    </row>
    <row r="4" spans="1:65" ht="18" customHeight="1" x14ac:dyDescent="0.3">
      <c r="A4" s="25" t="s">
        <v>19</v>
      </c>
      <c r="B4" s="12" t="s">
        <v>38</v>
      </c>
      <c r="C4" s="113"/>
      <c r="D4" s="26"/>
      <c r="E4" s="26"/>
      <c r="F4" s="24"/>
      <c r="G4" s="24"/>
      <c r="H4" s="24"/>
      <c r="I4" s="173"/>
      <c r="J4" s="116"/>
      <c r="K4" s="116"/>
      <c r="L4" s="116"/>
      <c r="M4" s="116"/>
      <c r="N4" s="117"/>
      <c r="O4" s="27"/>
    </row>
    <row r="5" spans="1:65" ht="18" customHeight="1" x14ac:dyDescent="0.3">
      <c r="A5" s="25"/>
      <c r="B5" s="115"/>
      <c r="C5" s="114"/>
      <c r="D5" s="26"/>
      <c r="E5" s="26"/>
      <c r="F5" s="24"/>
      <c r="G5" s="24"/>
      <c r="H5" s="24"/>
      <c r="I5" s="173"/>
      <c r="J5" s="116"/>
      <c r="K5" s="116"/>
      <c r="L5" s="116"/>
      <c r="M5" s="116"/>
      <c r="N5" s="117"/>
      <c r="O5" s="27"/>
    </row>
    <row r="6" spans="1:65" ht="18" customHeight="1" x14ac:dyDescent="0.3">
      <c r="A6" s="25"/>
      <c r="B6" s="115"/>
      <c r="C6" s="114"/>
      <c r="D6" s="26"/>
      <c r="E6" s="26"/>
      <c r="F6" s="24"/>
      <c r="G6" s="24"/>
      <c r="H6" s="24"/>
      <c r="I6" s="173"/>
      <c r="J6" s="116"/>
      <c r="K6" s="116"/>
      <c r="L6" s="116"/>
      <c r="M6" s="116"/>
      <c r="N6" s="117"/>
      <c r="O6" s="27"/>
    </row>
    <row r="7" spans="1:65" ht="6.75" customHeight="1" x14ac:dyDescent="0.3">
      <c r="A7" s="25"/>
      <c r="B7" s="115"/>
      <c r="C7" s="26"/>
      <c r="D7" s="26"/>
      <c r="E7" s="26"/>
      <c r="F7" s="24"/>
      <c r="G7" s="24"/>
      <c r="H7" s="24"/>
      <c r="I7" s="173"/>
      <c r="J7" s="116"/>
      <c r="K7" s="116"/>
      <c r="L7" s="116"/>
      <c r="M7" s="116"/>
      <c r="N7" s="117"/>
      <c r="O7" s="27"/>
    </row>
    <row r="8" spans="1:65" ht="18.5" thickBot="1" x14ac:dyDescent="0.35">
      <c r="A8" s="28"/>
      <c r="B8" s="112"/>
      <c r="C8" s="29"/>
      <c r="D8" s="23"/>
      <c r="E8" s="24"/>
      <c r="F8" s="24"/>
      <c r="G8" s="24"/>
      <c r="H8" s="24"/>
      <c r="I8" s="173"/>
      <c r="J8" s="21"/>
      <c r="K8" s="21"/>
      <c r="L8" s="21"/>
      <c r="M8" s="21"/>
      <c r="N8" s="11" t="s">
        <v>16</v>
      </c>
      <c r="O8" s="22">
        <f ca="1">TODAY()</f>
        <v>46095</v>
      </c>
    </row>
    <row r="9" spans="1:65" s="1" customFormat="1" ht="59.4" customHeight="1" thickTop="1" x14ac:dyDescent="0.3">
      <c r="A9" s="124" t="s">
        <v>6</v>
      </c>
      <c r="B9" s="125" t="s">
        <v>34</v>
      </c>
      <c r="C9" s="126" t="s">
        <v>0</v>
      </c>
      <c r="D9" s="126" t="s">
        <v>2</v>
      </c>
      <c r="E9" s="126" t="s">
        <v>1</v>
      </c>
      <c r="F9" s="126" t="s">
        <v>20</v>
      </c>
      <c r="G9" s="126" t="s">
        <v>21</v>
      </c>
      <c r="H9" s="126" t="s">
        <v>35</v>
      </c>
      <c r="I9" s="174" t="s">
        <v>36</v>
      </c>
      <c r="J9" s="126" t="s">
        <v>26</v>
      </c>
      <c r="K9" s="126" t="s">
        <v>27</v>
      </c>
      <c r="L9" s="126" t="s">
        <v>97</v>
      </c>
      <c r="M9" s="126" t="s">
        <v>98</v>
      </c>
      <c r="N9" s="126" t="s">
        <v>5</v>
      </c>
      <c r="O9" s="127" t="s">
        <v>9</v>
      </c>
      <c r="P9" s="16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</row>
    <row r="10" spans="1:65" s="164" customFormat="1" ht="17.5" x14ac:dyDescent="0.3">
      <c r="A10" s="163"/>
      <c r="B10" s="159"/>
      <c r="C10" s="160"/>
      <c r="D10" s="165" t="s">
        <v>57</v>
      </c>
      <c r="E10" s="165"/>
      <c r="F10" s="165"/>
      <c r="G10" s="165"/>
      <c r="H10" s="165"/>
      <c r="I10" s="175"/>
      <c r="J10" s="165"/>
      <c r="K10" s="165"/>
      <c r="L10" s="165"/>
      <c r="M10" s="165"/>
      <c r="N10" s="161"/>
      <c r="O10" s="162"/>
      <c r="P10" s="16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</row>
    <row r="11" spans="1:65" s="9" customFormat="1" ht="18" customHeight="1" x14ac:dyDescent="0.3">
      <c r="A11" s="51"/>
      <c r="B11" s="52"/>
      <c r="C11" s="53"/>
      <c r="D11" s="54" t="s">
        <v>18</v>
      </c>
      <c r="E11" s="55"/>
      <c r="F11" s="55"/>
      <c r="G11" s="55"/>
      <c r="H11" s="55"/>
      <c r="I11" s="176"/>
      <c r="J11" s="55"/>
      <c r="K11" s="55"/>
      <c r="L11" s="55"/>
      <c r="M11" s="55"/>
      <c r="N11" s="56"/>
      <c r="O11" s="57"/>
      <c r="P11" s="168">
        <f>SUM(O22:O64)/2</f>
        <v>19766.317618055553</v>
      </c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</row>
    <row r="12" spans="1:65" x14ac:dyDescent="0.3">
      <c r="A12" s="30">
        <f>IF(F12&lt;&gt;"",1+MAX($A$2:A11),"")</f>
        <v>1</v>
      </c>
      <c r="B12" s="31"/>
      <c r="C12" s="32" t="s">
        <v>41</v>
      </c>
      <c r="D12" s="33" t="s">
        <v>4</v>
      </c>
      <c r="E12" s="33">
        <v>1</v>
      </c>
      <c r="F12" s="34">
        <v>0</v>
      </c>
      <c r="G12" s="35">
        <f t="shared" ref="G12:G18" si="0">(F12*E12)+E12</f>
        <v>1</v>
      </c>
      <c r="H12" s="36">
        <f>$P$11*P12/I12</f>
        <v>3.9532635236111107</v>
      </c>
      <c r="I12" s="177">
        <v>50</v>
      </c>
      <c r="J12" s="37">
        <f t="shared" ref="J12:J18" si="1">H12*I12</f>
        <v>197.66317618055552</v>
      </c>
      <c r="K12" s="37">
        <v>0</v>
      </c>
      <c r="L12" s="37">
        <f t="shared" ref="L12:L18" si="2">J12*G12</f>
        <v>197.66317618055552</v>
      </c>
      <c r="M12" s="37">
        <f t="shared" ref="M12:M18" si="3">K12*G12</f>
        <v>0</v>
      </c>
      <c r="N12" s="38">
        <f t="shared" ref="N12:N18" si="4">J12+K12</f>
        <v>197.66317618055552</v>
      </c>
      <c r="O12" s="39">
        <f t="shared" ref="O12:O18" si="5">G12*N12</f>
        <v>197.66317618055552</v>
      </c>
      <c r="P12" s="169">
        <v>0.01</v>
      </c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</row>
    <row r="13" spans="1:65" x14ac:dyDescent="0.3">
      <c r="A13" s="30">
        <f>IF(F13&lt;&gt;"",1+MAX($A$2:A12),"")</f>
        <v>2</v>
      </c>
      <c r="B13" s="40"/>
      <c r="C13" s="105" t="s">
        <v>42</v>
      </c>
      <c r="D13" s="33" t="s">
        <v>4</v>
      </c>
      <c r="E13" s="41">
        <v>1</v>
      </c>
      <c r="F13" s="42">
        <v>0</v>
      </c>
      <c r="G13" s="43">
        <f t="shared" si="0"/>
        <v>1</v>
      </c>
      <c r="H13" s="36">
        <f t="shared" ref="H13:H18" si="6">$P$11*P13/I13</f>
        <v>11.859790570833331</v>
      </c>
      <c r="I13" s="177">
        <v>50</v>
      </c>
      <c r="J13" s="37">
        <f t="shared" si="1"/>
        <v>592.98952854166657</v>
      </c>
      <c r="K13" s="44">
        <v>0</v>
      </c>
      <c r="L13" s="37">
        <f t="shared" si="2"/>
        <v>592.98952854166657</v>
      </c>
      <c r="M13" s="37">
        <f t="shared" si="3"/>
        <v>0</v>
      </c>
      <c r="N13" s="38">
        <f t="shared" si="4"/>
        <v>592.98952854166657</v>
      </c>
      <c r="O13" s="39">
        <f t="shared" si="5"/>
        <v>592.98952854166657</v>
      </c>
      <c r="P13" s="169">
        <v>0.03</v>
      </c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</row>
    <row r="14" spans="1:65" x14ac:dyDescent="0.3">
      <c r="A14" s="30">
        <f>IF(F14&lt;&gt;"",1+MAX($A$2:A13),"")</f>
        <v>3</v>
      </c>
      <c r="B14" s="40"/>
      <c r="C14" s="105" t="s">
        <v>43</v>
      </c>
      <c r="D14" s="33" t="s">
        <v>4</v>
      </c>
      <c r="E14" s="41">
        <v>1</v>
      </c>
      <c r="F14" s="42">
        <v>0</v>
      </c>
      <c r="G14" s="43">
        <f t="shared" si="0"/>
        <v>1</v>
      </c>
      <c r="H14" s="36">
        <f t="shared" si="6"/>
        <v>3.9532635236111107</v>
      </c>
      <c r="I14" s="177">
        <v>50</v>
      </c>
      <c r="J14" s="37">
        <f t="shared" si="1"/>
        <v>197.66317618055552</v>
      </c>
      <c r="K14" s="44">
        <v>0</v>
      </c>
      <c r="L14" s="37">
        <f t="shared" si="2"/>
        <v>197.66317618055552</v>
      </c>
      <c r="M14" s="37">
        <f t="shared" si="3"/>
        <v>0</v>
      </c>
      <c r="N14" s="38">
        <f t="shared" si="4"/>
        <v>197.66317618055552</v>
      </c>
      <c r="O14" s="39">
        <f t="shared" si="5"/>
        <v>197.66317618055552</v>
      </c>
      <c r="P14" s="169">
        <v>0.01</v>
      </c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</row>
    <row r="15" spans="1:65" x14ac:dyDescent="0.3">
      <c r="A15" s="30">
        <f>IF(F15&lt;&gt;"",1+MAX($A$2:A14),"")</f>
        <v>4</v>
      </c>
      <c r="B15" s="40"/>
      <c r="C15" s="105" t="s">
        <v>8</v>
      </c>
      <c r="D15" s="33" t="s">
        <v>4</v>
      </c>
      <c r="E15" s="41">
        <v>1</v>
      </c>
      <c r="F15" s="42">
        <v>0</v>
      </c>
      <c r="G15" s="43">
        <f t="shared" si="0"/>
        <v>1</v>
      </c>
      <c r="H15" s="36">
        <f t="shared" si="6"/>
        <v>1.9766317618055553</v>
      </c>
      <c r="I15" s="177">
        <v>50</v>
      </c>
      <c r="J15" s="37">
        <f t="shared" si="1"/>
        <v>98.831588090277762</v>
      </c>
      <c r="K15" s="44">
        <v>0</v>
      </c>
      <c r="L15" s="37">
        <f t="shared" si="2"/>
        <v>98.831588090277762</v>
      </c>
      <c r="M15" s="37">
        <f t="shared" si="3"/>
        <v>0</v>
      </c>
      <c r="N15" s="38">
        <f t="shared" si="4"/>
        <v>98.831588090277762</v>
      </c>
      <c r="O15" s="39">
        <f t="shared" si="5"/>
        <v>98.831588090277762</v>
      </c>
      <c r="P15" s="170">
        <v>5.0000000000000001E-3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</row>
    <row r="16" spans="1:65" x14ac:dyDescent="0.3">
      <c r="A16" s="30">
        <f>IF(F16&lt;&gt;"",1+MAX($A$2:A15),"")</f>
        <v>5</v>
      </c>
      <c r="B16" s="40"/>
      <c r="C16" s="105" t="s">
        <v>44</v>
      </c>
      <c r="D16" s="33" t="s">
        <v>4</v>
      </c>
      <c r="E16" s="41">
        <v>1</v>
      </c>
      <c r="F16" s="42">
        <v>0</v>
      </c>
      <c r="G16" s="43">
        <f t="shared" si="0"/>
        <v>1</v>
      </c>
      <c r="H16" s="36">
        <f t="shared" si="6"/>
        <v>7.9065270472222213</v>
      </c>
      <c r="I16" s="177">
        <v>50</v>
      </c>
      <c r="J16" s="37">
        <f t="shared" si="1"/>
        <v>395.32635236111105</v>
      </c>
      <c r="K16" s="44">
        <v>0</v>
      </c>
      <c r="L16" s="37">
        <f t="shared" si="2"/>
        <v>395.32635236111105</v>
      </c>
      <c r="M16" s="37">
        <f t="shared" si="3"/>
        <v>0</v>
      </c>
      <c r="N16" s="38">
        <f t="shared" si="4"/>
        <v>395.32635236111105</v>
      </c>
      <c r="O16" s="39">
        <f t="shared" si="5"/>
        <v>395.32635236111105</v>
      </c>
      <c r="P16" s="170">
        <v>0.02</v>
      </c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</row>
    <row r="17" spans="1:16" x14ac:dyDescent="0.3">
      <c r="A17" s="30">
        <f>IF(F17&lt;&gt;"",1+MAX($A$2:A16),"")</f>
        <v>6</v>
      </c>
      <c r="B17" s="40"/>
      <c r="C17" s="105" t="s">
        <v>45</v>
      </c>
      <c r="D17" s="33" t="s">
        <v>4</v>
      </c>
      <c r="E17" s="41">
        <v>1</v>
      </c>
      <c r="F17" s="42">
        <v>0</v>
      </c>
      <c r="G17" s="43">
        <f t="shared" si="0"/>
        <v>1</v>
      </c>
      <c r="H17" s="36">
        <f t="shared" si="6"/>
        <v>9.883158809027778</v>
      </c>
      <c r="I17" s="177">
        <v>50</v>
      </c>
      <c r="J17" s="37">
        <f t="shared" si="1"/>
        <v>494.15794045138892</v>
      </c>
      <c r="K17" s="44">
        <v>0</v>
      </c>
      <c r="L17" s="37">
        <f t="shared" si="2"/>
        <v>494.15794045138892</v>
      </c>
      <c r="M17" s="37">
        <f t="shared" si="3"/>
        <v>0</v>
      </c>
      <c r="N17" s="38">
        <f t="shared" si="4"/>
        <v>494.15794045138892</v>
      </c>
      <c r="O17" s="39">
        <f t="shared" si="5"/>
        <v>494.15794045138892</v>
      </c>
      <c r="P17" s="170">
        <v>2.5000000000000001E-2</v>
      </c>
    </row>
    <row r="18" spans="1:16" x14ac:dyDescent="0.3">
      <c r="A18" s="30">
        <f>IF(F18&lt;&gt;"",1+MAX($A$2:A17),"")</f>
        <v>7</v>
      </c>
      <c r="B18" s="40"/>
      <c r="C18" s="105" t="s">
        <v>46</v>
      </c>
      <c r="D18" s="33" t="s">
        <v>4</v>
      </c>
      <c r="E18" s="41">
        <v>1</v>
      </c>
      <c r="F18" s="42">
        <v>0</v>
      </c>
      <c r="G18" s="43">
        <f t="shared" si="0"/>
        <v>1</v>
      </c>
      <c r="H18" s="36">
        <f t="shared" si="6"/>
        <v>7.9065270472222213</v>
      </c>
      <c r="I18" s="177">
        <v>50</v>
      </c>
      <c r="J18" s="37">
        <f t="shared" si="1"/>
        <v>395.32635236111105</v>
      </c>
      <c r="K18" s="44">
        <v>0</v>
      </c>
      <c r="L18" s="37">
        <f t="shared" si="2"/>
        <v>395.32635236111105</v>
      </c>
      <c r="M18" s="37">
        <f t="shared" si="3"/>
        <v>0</v>
      </c>
      <c r="N18" s="38">
        <f t="shared" si="4"/>
        <v>395.32635236111105</v>
      </c>
      <c r="O18" s="39">
        <f t="shared" si="5"/>
        <v>395.32635236111105</v>
      </c>
      <c r="P18" s="170">
        <v>0.02</v>
      </c>
    </row>
    <row r="19" spans="1:16" ht="18" customHeight="1" x14ac:dyDescent="0.3">
      <c r="A19" s="30" t="str">
        <f>IF(F19&lt;&gt;"",1+MAX($A$2:A18),"")</f>
        <v/>
      </c>
      <c r="B19" s="40"/>
      <c r="C19" s="105"/>
      <c r="D19" s="134"/>
      <c r="E19" s="41"/>
      <c r="F19" s="42"/>
      <c r="G19" s="43"/>
      <c r="H19" s="36"/>
      <c r="I19" s="177"/>
      <c r="J19" s="44"/>
      <c r="K19" s="44"/>
      <c r="L19" s="44"/>
      <c r="M19" s="44"/>
      <c r="N19" s="45"/>
      <c r="O19" s="46"/>
      <c r="P19" s="156"/>
    </row>
    <row r="20" spans="1:16" s="1" customFormat="1" x14ac:dyDescent="0.3">
      <c r="A20" s="153" t="str">
        <f>IF(F20&lt;&gt;"",1+MAX($A$2:A19),"")</f>
        <v/>
      </c>
      <c r="B20" s="47"/>
      <c r="C20" s="47"/>
      <c r="D20" s="47"/>
      <c r="E20" s="47"/>
      <c r="F20" s="47"/>
      <c r="G20" s="47"/>
      <c r="H20" s="47"/>
      <c r="I20" s="178"/>
      <c r="J20" s="48"/>
      <c r="K20" s="48"/>
      <c r="L20" s="50">
        <f>SUM(L12:L19)</f>
        <v>2371.9581141666663</v>
      </c>
      <c r="M20" s="50">
        <f>SUM(M12:M19)</f>
        <v>0</v>
      </c>
      <c r="N20" s="49" t="s">
        <v>22</v>
      </c>
      <c r="O20" s="50">
        <f>SUM(O12:O19)</f>
        <v>2371.9581141666663</v>
      </c>
      <c r="P20" s="157"/>
    </row>
    <row r="21" spans="1:16" x14ac:dyDescent="0.3">
      <c r="A21" s="191"/>
      <c r="B21" s="192"/>
      <c r="C21" s="193"/>
      <c r="D21" s="193"/>
      <c r="E21" s="192"/>
      <c r="F21" s="192"/>
      <c r="G21" s="192"/>
      <c r="H21" s="192"/>
      <c r="I21" s="194"/>
      <c r="J21" s="195"/>
      <c r="K21" s="195"/>
      <c r="L21" s="196"/>
      <c r="M21" s="196"/>
      <c r="N21" s="197"/>
      <c r="O21" s="198"/>
    </row>
    <row r="22" spans="1:16" ht="18" customHeight="1" x14ac:dyDescent="0.3">
      <c r="A22" s="154" t="str">
        <f>IF(F22&lt;&gt;"",1+MAX($A$2:A20),"")</f>
        <v/>
      </c>
      <c r="B22" s="52"/>
      <c r="C22" s="53"/>
      <c r="D22" s="54" t="s">
        <v>37</v>
      </c>
      <c r="E22" s="55"/>
      <c r="F22" s="55"/>
      <c r="G22" s="55"/>
      <c r="H22" s="55"/>
      <c r="I22" s="176"/>
      <c r="J22" s="55"/>
      <c r="K22" s="55"/>
      <c r="L22" s="55"/>
      <c r="M22" s="55"/>
      <c r="N22" s="56"/>
      <c r="O22" s="57"/>
      <c r="P22" s="156"/>
    </row>
    <row r="23" spans="1:16" ht="18" customHeight="1" x14ac:dyDescent="0.3">
      <c r="A23" s="132" t="str">
        <f>IF(F23&lt;&gt;"",1+MAX($A$2:A22),"")</f>
        <v/>
      </c>
      <c r="B23" s="61"/>
      <c r="C23" s="58" t="s">
        <v>59</v>
      </c>
      <c r="D23" s="59"/>
      <c r="E23" s="41"/>
      <c r="F23" s="62"/>
      <c r="G23" s="43"/>
      <c r="H23" s="63"/>
      <c r="I23" s="179"/>
      <c r="J23" s="60"/>
      <c r="K23" s="60"/>
      <c r="L23" s="60"/>
      <c r="M23" s="60"/>
      <c r="N23" s="45"/>
      <c r="O23" s="46"/>
      <c r="P23" s="156"/>
    </row>
    <row r="24" spans="1:16" ht="18" customHeight="1" x14ac:dyDescent="0.3">
      <c r="A24" s="71">
        <f>IF(F24&lt;&gt;"",1+MAX($A$2:A23),"")</f>
        <v>8</v>
      </c>
      <c r="B24" s="214" t="s">
        <v>94</v>
      </c>
      <c r="C24" s="105" t="s">
        <v>56</v>
      </c>
      <c r="D24" s="41" t="s">
        <v>7</v>
      </c>
      <c r="E24" s="41">
        <v>828</v>
      </c>
      <c r="F24" s="42">
        <v>0.1</v>
      </c>
      <c r="G24" s="43">
        <f t="shared" ref="G24" si="7">(F24*E24)+E24</f>
        <v>910.8</v>
      </c>
      <c r="H24" s="36">
        <v>1.4E-2</v>
      </c>
      <c r="I24" s="177">
        <v>65</v>
      </c>
      <c r="J24" s="44">
        <f t="shared" ref="J24" si="8">H24*I24</f>
        <v>0.91</v>
      </c>
      <c r="K24" s="44">
        <v>0.49</v>
      </c>
      <c r="L24" s="37">
        <f t="shared" ref="L24:L62" si="9">J24*G24</f>
        <v>828.82799999999997</v>
      </c>
      <c r="M24" s="37">
        <f t="shared" ref="M24:M62" si="10">K24*G24</f>
        <v>446.29199999999997</v>
      </c>
      <c r="N24" s="45">
        <f t="shared" ref="N24" si="11">+K24+J24</f>
        <v>1.4</v>
      </c>
      <c r="O24" s="46">
        <f t="shared" ref="O24" si="12">G24*N24</f>
        <v>1275.1199999999999</v>
      </c>
      <c r="P24" s="156"/>
    </row>
    <row r="25" spans="1:16" s="133" customFormat="1" x14ac:dyDescent="0.3">
      <c r="A25" s="71">
        <f>IF(F25&lt;&gt;"",1+MAX($A$2:A24),"")</f>
        <v>9</v>
      </c>
      <c r="B25" s="215"/>
      <c r="C25" s="105" t="s">
        <v>60</v>
      </c>
      <c r="D25" s="41" t="s">
        <v>7</v>
      </c>
      <c r="E25" s="41">
        <v>279</v>
      </c>
      <c r="F25" s="42">
        <v>0.1</v>
      </c>
      <c r="G25" s="43">
        <f t="shared" ref="G25:G62" si="13">(F25*E25)+E25</f>
        <v>306.89999999999998</v>
      </c>
      <c r="H25" s="36">
        <v>1.6E-2</v>
      </c>
      <c r="I25" s="177">
        <v>65</v>
      </c>
      <c r="J25" s="44">
        <f t="shared" ref="J25:J62" si="14">H25*I25</f>
        <v>1.04</v>
      </c>
      <c r="K25" s="44">
        <f>21.52/32</f>
        <v>0.67249999999999999</v>
      </c>
      <c r="L25" s="37">
        <f t="shared" si="9"/>
        <v>319.17599999999999</v>
      </c>
      <c r="M25" s="37">
        <f t="shared" si="10"/>
        <v>206.39024999999998</v>
      </c>
      <c r="N25" s="45">
        <f t="shared" ref="N25:N62" si="15">+K25+J25</f>
        <v>1.7124999999999999</v>
      </c>
      <c r="O25" s="46">
        <f t="shared" ref="O25:O62" si="16">G25*N25</f>
        <v>525.56624999999997</v>
      </c>
      <c r="P25" s="156"/>
    </row>
    <row r="26" spans="1:16" x14ac:dyDescent="0.35">
      <c r="A26" s="71">
        <f>IF(F26&lt;&gt;"",1+MAX($A$2:A25),"")</f>
        <v>10</v>
      </c>
      <c r="B26" s="215"/>
      <c r="C26" s="105" t="s">
        <v>61</v>
      </c>
      <c r="D26" s="41" t="s">
        <v>7</v>
      </c>
      <c r="E26" s="166">
        <v>603</v>
      </c>
      <c r="F26" s="42">
        <v>0.1</v>
      </c>
      <c r="G26" s="43">
        <f t="shared" si="13"/>
        <v>663.3</v>
      </c>
      <c r="H26" s="36">
        <v>1.2999999999999999E-2</v>
      </c>
      <c r="I26" s="177">
        <v>65</v>
      </c>
      <c r="J26" s="44">
        <f t="shared" si="14"/>
        <v>0.84499999999999997</v>
      </c>
      <c r="K26" s="44">
        <v>1.99</v>
      </c>
      <c r="L26" s="37">
        <f t="shared" si="9"/>
        <v>560.48849999999993</v>
      </c>
      <c r="M26" s="37">
        <f t="shared" si="10"/>
        <v>1319.9669999999999</v>
      </c>
      <c r="N26" s="45">
        <f t="shared" si="15"/>
        <v>2.835</v>
      </c>
      <c r="O26" s="46">
        <f t="shared" si="16"/>
        <v>1880.4554999999998</v>
      </c>
      <c r="P26" s="156"/>
    </row>
    <row r="27" spans="1:16" x14ac:dyDescent="0.35">
      <c r="A27" s="71">
        <f>IF(F27&lt;&gt;"",1+MAX($A$2:A26),"")</f>
        <v>11</v>
      </c>
      <c r="B27" s="215"/>
      <c r="C27" s="105" t="s">
        <v>62</v>
      </c>
      <c r="D27" s="41" t="s">
        <v>7</v>
      </c>
      <c r="E27" s="166">
        <v>603</v>
      </c>
      <c r="F27" s="42">
        <v>0.1</v>
      </c>
      <c r="G27" s="43">
        <f t="shared" si="13"/>
        <v>663.3</v>
      </c>
      <c r="H27" s="36">
        <v>1.4999999999999999E-2</v>
      </c>
      <c r="I27" s="177">
        <v>65</v>
      </c>
      <c r="J27" s="44">
        <f t="shared" si="14"/>
        <v>0.97499999999999998</v>
      </c>
      <c r="K27" s="44">
        <f>18.66/32</f>
        <v>0.583125</v>
      </c>
      <c r="L27" s="37">
        <f t="shared" si="9"/>
        <v>646.71749999999997</v>
      </c>
      <c r="M27" s="37">
        <f t="shared" si="10"/>
        <v>386.7868125</v>
      </c>
      <c r="N27" s="45">
        <f t="shared" si="15"/>
        <v>1.558125</v>
      </c>
      <c r="O27" s="46">
        <f t="shared" si="16"/>
        <v>1033.5043125</v>
      </c>
      <c r="P27" s="156"/>
    </row>
    <row r="28" spans="1:16" x14ac:dyDescent="0.3">
      <c r="A28" s="71">
        <f>IF(F28&lt;&gt;"",1+MAX($A$2:A27),"")</f>
        <v>12</v>
      </c>
      <c r="B28" s="215"/>
      <c r="C28" s="105" t="s">
        <v>63</v>
      </c>
      <c r="D28" s="41" t="s">
        <v>64</v>
      </c>
      <c r="E28" s="41">
        <v>6</v>
      </c>
      <c r="F28" s="42">
        <v>0.1</v>
      </c>
      <c r="G28" s="43">
        <f t="shared" si="13"/>
        <v>6.6</v>
      </c>
      <c r="H28" s="36">
        <v>0.32500000000000001</v>
      </c>
      <c r="I28" s="177">
        <v>65</v>
      </c>
      <c r="J28" s="44">
        <f t="shared" si="14"/>
        <v>21.125</v>
      </c>
      <c r="K28" s="44">
        <v>24.25</v>
      </c>
      <c r="L28" s="37">
        <f t="shared" si="9"/>
        <v>139.42499999999998</v>
      </c>
      <c r="M28" s="37">
        <f t="shared" si="10"/>
        <v>160.04999999999998</v>
      </c>
      <c r="N28" s="45">
        <f t="shared" si="15"/>
        <v>45.375</v>
      </c>
      <c r="O28" s="46">
        <f t="shared" si="16"/>
        <v>299.47499999999997</v>
      </c>
      <c r="P28" s="156"/>
    </row>
    <row r="29" spans="1:16" x14ac:dyDescent="0.3">
      <c r="A29" s="71">
        <f>IF(F29&lt;&gt;"",1+MAX($A$2:A28),"")</f>
        <v>13</v>
      </c>
      <c r="B29" s="215"/>
      <c r="C29" s="105" t="s">
        <v>65</v>
      </c>
      <c r="D29" s="41" t="s">
        <v>64</v>
      </c>
      <c r="E29" s="41">
        <v>62</v>
      </c>
      <c r="F29" s="42">
        <v>0.1</v>
      </c>
      <c r="G29" s="43">
        <f t="shared" si="13"/>
        <v>68.2</v>
      </c>
      <c r="H29" s="36">
        <v>0.22</v>
      </c>
      <c r="I29" s="177">
        <v>65</v>
      </c>
      <c r="J29" s="44">
        <f t="shared" si="14"/>
        <v>14.3</v>
      </c>
      <c r="K29" s="44">
        <v>0.5</v>
      </c>
      <c r="L29" s="37">
        <f t="shared" si="9"/>
        <v>975.2600000000001</v>
      </c>
      <c r="M29" s="37">
        <f t="shared" si="10"/>
        <v>34.1</v>
      </c>
      <c r="N29" s="45">
        <f t="shared" si="15"/>
        <v>14.8</v>
      </c>
      <c r="O29" s="46">
        <f t="shared" si="16"/>
        <v>1009.3600000000001</v>
      </c>
      <c r="P29" s="156"/>
    </row>
    <row r="30" spans="1:16" x14ac:dyDescent="0.3">
      <c r="A30" s="71">
        <f>IF(F30&lt;&gt;"",1+MAX($A$2:A29),"")</f>
        <v>14</v>
      </c>
      <c r="B30" s="215"/>
      <c r="C30" s="105" t="s">
        <v>66</v>
      </c>
      <c r="D30" s="41" t="s">
        <v>33</v>
      </c>
      <c r="E30" s="41">
        <v>246</v>
      </c>
      <c r="F30" s="42">
        <v>0.1</v>
      </c>
      <c r="G30" s="43">
        <f t="shared" si="13"/>
        <v>270.60000000000002</v>
      </c>
      <c r="H30" s="36">
        <v>1.6E-2</v>
      </c>
      <c r="I30" s="177">
        <v>65</v>
      </c>
      <c r="J30" s="44">
        <f t="shared" si="14"/>
        <v>1.04</v>
      </c>
      <c r="K30" s="44">
        <v>0.1</v>
      </c>
      <c r="L30" s="37">
        <f t="shared" si="9"/>
        <v>281.42400000000004</v>
      </c>
      <c r="M30" s="37">
        <f t="shared" si="10"/>
        <v>27.060000000000002</v>
      </c>
      <c r="N30" s="45">
        <f t="shared" si="15"/>
        <v>1.1400000000000001</v>
      </c>
      <c r="O30" s="46">
        <f t="shared" si="16"/>
        <v>308.48400000000004</v>
      </c>
      <c r="P30" s="156"/>
    </row>
    <row r="31" spans="1:16" x14ac:dyDescent="0.3">
      <c r="A31" s="71">
        <f>IF(F31&lt;&gt;"",1+MAX($A$2:A30),"")</f>
        <v>15</v>
      </c>
      <c r="B31" s="215"/>
      <c r="C31" s="105" t="s">
        <v>67</v>
      </c>
      <c r="D31" s="41" t="s">
        <v>33</v>
      </c>
      <c r="E31" s="41">
        <v>608</v>
      </c>
      <c r="F31" s="42">
        <v>0.1</v>
      </c>
      <c r="G31" s="43">
        <f t="shared" si="13"/>
        <v>668.8</v>
      </c>
      <c r="H31" s="36">
        <v>0.01</v>
      </c>
      <c r="I31" s="177">
        <v>65</v>
      </c>
      <c r="J31" s="44">
        <f t="shared" si="14"/>
        <v>0.65</v>
      </c>
      <c r="K31" s="44">
        <v>0.01</v>
      </c>
      <c r="L31" s="37">
        <f t="shared" si="9"/>
        <v>434.71999999999997</v>
      </c>
      <c r="M31" s="37">
        <f t="shared" si="10"/>
        <v>6.6879999999999997</v>
      </c>
      <c r="N31" s="45">
        <f t="shared" si="15"/>
        <v>0.66</v>
      </c>
      <c r="O31" s="46">
        <f t="shared" si="16"/>
        <v>441.40800000000002</v>
      </c>
      <c r="P31" s="156"/>
    </row>
    <row r="32" spans="1:16" x14ac:dyDescent="0.3">
      <c r="A32" s="71" t="str">
        <f>IF(F32&lt;&gt;"",1+MAX($A$2:A31),"")</f>
        <v/>
      </c>
      <c r="B32" s="215"/>
      <c r="C32" s="58" t="s">
        <v>58</v>
      </c>
      <c r="D32" s="59"/>
      <c r="E32" s="41"/>
      <c r="F32" s="42"/>
      <c r="G32" s="43"/>
      <c r="H32" s="36"/>
      <c r="I32" s="177"/>
      <c r="J32" s="44"/>
      <c r="K32" s="44"/>
      <c r="L32" s="37"/>
      <c r="M32" s="37"/>
      <c r="N32" s="45"/>
      <c r="O32" s="46"/>
      <c r="P32" s="156"/>
    </row>
    <row r="33" spans="1:16" x14ac:dyDescent="0.3">
      <c r="A33" s="71">
        <f>IF(F33&lt;&gt;"",1+MAX($A$2:A32),"")</f>
        <v>16</v>
      </c>
      <c r="B33" s="215"/>
      <c r="C33" s="105" t="s">
        <v>68</v>
      </c>
      <c r="D33" s="41" t="s">
        <v>7</v>
      </c>
      <c r="E33" s="41">
        <v>226</v>
      </c>
      <c r="F33" s="42">
        <v>0.1</v>
      </c>
      <c r="G33" s="43">
        <f t="shared" si="13"/>
        <v>248.6</v>
      </c>
      <c r="H33" s="36">
        <v>1.4E-2</v>
      </c>
      <c r="I33" s="177">
        <v>65</v>
      </c>
      <c r="J33" s="44">
        <f t="shared" ref="J33:J34" si="17">H33*I33</f>
        <v>0.91</v>
      </c>
      <c r="K33" s="44">
        <v>0.49</v>
      </c>
      <c r="L33" s="37">
        <f t="shared" si="9"/>
        <v>226.226</v>
      </c>
      <c r="M33" s="37">
        <f t="shared" si="10"/>
        <v>121.81399999999999</v>
      </c>
      <c r="N33" s="45">
        <f t="shared" si="15"/>
        <v>1.4</v>
      </c>
      <c r="O33" s="46">
        <f t="shared" si="16"/>
        <v>348.03999999999996</v>
      </c>
      <c r="P33" s="156"/>
    </row>
    <row r="34" spans="1:16" x14ac:dyDescent="0.3">
      <c r="A34" s="71">
        <f>IF(F34&lt;&gt;"",1+MAX($A$2:A33),"")</f>
        <v>17</v>
      </c>
      <c r="B34" s="215"/>
      <c r="C34" s="105" t="s">
        <v>69</v>
      </c>
      <c r="D34" s="41" t="s">
        <v>7</v>
      </c>
      <c r="E34" s="41">
        <v>50</v>
      </c>
      <c r="F34" s="42">
        <v>0.1</v>
      </c>
      <c r="G34" s="43">
        <f t="shared" si="13"/>
        <v>55</v>
      </c>
      <c r="H34" s="36">
        <v>1.6E-2</v>
      </c>
      <c r="I34" s="177">
        <v>65</v>
      </c>
      <c r="J34" s="44">
        <f t="shared" si="17"/>
        <v>1.04</v>
      </c>
      <c r="K34" s="44">
        <f>21.52/32</f>
        <v>0.67249999999999999</v>
      </c>
      <c r="L34" s="37">
        <f t="shared" si="9"/>
        <v>57.2</v>
      </c>
      <c r="M34" s="37">
        <f t="shared" si="10"/>
        <v>36.987499999999997</v>
      </c>
      <c r="N34" s="45">
        <f t="shared" si="15"/>
        <v>1.7124999999999999</v>
      </c>
      <c r="O34" s="46">
        <f t="shared" si="16"/>
        <v>94.1875</v>
      </c>
      <c r="P34" s="156"/>
    </row>
    <row r="35" spans="1:16" x14ac:dyDescent="0.3">
      <c r="A35" s="71" t="str">
        <f>IF(F35&lt;&gt;"",1+MAX($A$2:A34),"")</f>
        <v/>
      </c>
      <c r="B35" s="215"/>
      <c r="C35" s="58" t="s">
        <v>49</v>
      </c>
      <c r="D35" s="59"/>
      <c r="E35" s="41"/>
      <c r="F35" s="42"/>
      <c r="G35" s="43"/>
      <c r="H35" s="36"/>
      <c r="I35" s="177"/>
      <c r="J35" s="44"/>
      <c r="K35" s="44"/>
      <c r="L35" s="37"/>
      <c r="M35" s="37"/>
      <c r="N35" s="45"/>
      <c r="O35" s="46"/>
      <c r="P35" s="156"/>
    </row>
    <row r="36" spans="1:16" x14ac:dyDescent="0.3">
      <c r="A36" s="71">
        <f>IF(F36&lt;&gt;"",1+MAX($A$2:A35),"")</f>
        <v>18</v>
      </c>
      <c r="B36" s="215"/>
      <c r="C36" s="105" t="s">
        <v>70</v>
      </c>
      <c r="D36" s="41" t="s">
        <v>7</v>
      </c>
      <c r="E36" s="41">
        <v>285</v>
      </c>
      <c r="F36" s="42">
        <v>0.1</v>
      </c>
      <c r="G36" s="43">
        <f t="shared" si="13"/>
        <v>313.5</v>
      </c>
      <c r="H36" s="36">
        <v>3.6999999999999998E-2</v>
      </c>
      <c r="I36" s="177">
        <v>65</v>
      </c>
      <c r="J36" s="44">
        <f t="shared" si="14"/>
        <v>2.4049999999999998</v>
      </c>
      <c r="K36" s="44">
        <v>1.0900000000000001</v>
      </c>
      <c r="L36" s="37">
        <f t="shared" si="9"/>
        <v>753.96749999999997</v>
      </c>
      <c r="M36" s="37">
        <f t="shared" si="10"/>
        <v>341.71500000000003</v>
      </c>
      <c r="N36" s="45">
        <f t="shared" si="15"/>
        <v>3.4950000000000001</v>
      </c>
      <c r="O36" s="46">
        <f t="shared" si="16"/>
        <v>1095.6825000000001</v>
      </c>
      <c r="P36" s="156"/>
    </row>
    <row r="37" spans="1:16" x14ac:dyDescent="0.3">
      <c r="A37" s="71">
        <f>IF(F37&lt;&gt;"",1+MAX($A$2:A36),"")</f>
        <v>19</v>
      </c>
      <c r="B37" s="215"/>
      <c r="C37" s="105" t="s">
        <v>71</v>
      </c>
      <c r="D37" s="41" t="s">
        <v>33</v>
      </c>
      <c r="E37" s="41">
        <v>16</v>
      </c>
      <c r="F37" s="42">
        <v>0.1</v>
      </c>
      <c r="G37" s="43">
        <f t="shared" si="13"/>
        <v>17.600000000000001</v>
      </c>
      <c r="H37" s="36">
        <v>3.7999999999999999E-2</v>
      </c>
      <c r="I37" s="177">
        <v>65</v>
      </c>
      <c r="J37" s="44">
        <f t="shared" si="14"/>
        <v>2.4699999999999998</v>
      </c>
      <c r="K37" s="44">
        <v>4.5</v>
      </c>
      <c r="L37" s="37">
        <f t="shared" si="9"/>
        <v>43.472000000000001</v>
      </c>
      <c r="M37" s="37">
        <f t="shared" si="10"/>
        <v>79.2</v>
      </c>
      <c r="N37" s="45">
        <f t="shared" si="15"/>
        <v>6.97</v>
      </c>
      <c r="O37" s="46">
        <f t="shared" si="16"/>
        <v>122.67200000000001</v>
      </c>
      <c r="P37" s="156"/>
    </row>
    <row r="38" spans="1:16" x14ac:dyDescent="0.3">
      <c r="A38" s="71" t="str">
        <f>IF(F38&lt;&gt;"",1+MAX($A$2:A37),"")</f>
        <v/>
      </c>
      <c r="B38" s="215"/>
      <c r="C38" s="58" t="s">
        <v>51</v>
      </c>
      <c r="D38" s="59"/>
      <c r="E38" s="41"/>
      <c r="F38" s="42"/>
      <c r="G38" s="43"/>
      <c r="H38" s="36"/>
      <c r="I38" s="177"/>
      <c r="J38" s="44"/>
      <c r="K38" s="44"/>
      <c r="L38" s="37"/>
      <c r="M38" s="37"/>
      <c r="N38" s="45"/>
      <c r="O38" s="46"/>
      <c r="P38" s="156"/>
    </row>
    <row r="39" spans="1:16" x14ac:dyDescent="0.3">
      <c r="A39" s="71">
        <f>IF(F39&lt;&gt;"",1+MAX($A$2:A38),"")</f>
        <v>20</v>
      </c>
      <c r="B39" s="215"/>
      <c r="C39" s="105" t="s">
        <v>72</v>
      </c>
      <c r="D39" s="41" t="s">
        <v>33</v>
      </c>
      <c r="E39" s="41">
        <v>73</v>
      </c>
      <c r="F39" s="42">
        <v>0.1</v>
      </c>
      <c r="G39" s="43">
        <f t="shared" si="13"/>
        <v>80.3</v>
      </c>
      <c r="H39" s="36">
        <v>2.5000000000000001E-2</v>
      </c>
      <c r="I39" s="177">
        <v>65</v>
      </c>
      <c r="J39" s="44">
        <f t="shared" si="14"/>
        <v>1.625</v>
      </c>
      <c r="K39" s="44">
        <v>2.5299999999999998</v>
      </c>
      <c r="L39" s="37">
        <f t="shared" si="9"/>
        <v>130.48749999999998</v>
      </c>
      <c r="M39" s="37">
        <f t="shared" si="10"/>
        <v>203.15899999999996</v>
      </c>
      <c r="N39" s="45">
        <f t="shared" si="15"/>
        <v>4.1549999999999994</v>
      </c>
      <c r="O39" s="46">
        <f t="shared" si="16"/>
        <v>333.64649999999995</v>
      </c>
      <c r="P39" s="156"/>
    </row>
    <row r="40" spans="1:16" x14ac:dyDescent="0.3">
      <c r="A40" s="71">
        <f>IF(F40&lt;&gt;"",1+MAX($A$2:A39),"")</f>
        <v>21</v>
      </c>
      <c r="B40" s="215"/>
      <c r="C40" s="105" t="s">
        <v>73</v>
      </c>
      <c r="D40" s="41" t="s">
        <v>33</v>
      </c>
      <c r="E40" s="41">
        <v>26</v>
      </c>
      <c r="F40" s="42">
        <v>0.1</v>
      </c>
      <c r="G40" s="43">
        <f t="shared" si="13"/>
        <v>28.6</v>
      </c>
      <c r="H40" s="36">
        <v>5.5E-2</v>
      </c>
      <c r="I40" s="177">
        <v>65</v>
      </c>
      <c r="J40" s="44">
        <f t="shared" si="14"/>
        <v>3.5750000000000002</v>
      </c>
      <c r="K40" s="44">
        <v>3.21</v>
      </c>
      <c r="L40" s="37">
        <f t="shared" si="9"/>
        <v>102.245</v>
      </c>
      <c r="M40" s="37">
        <f t="shared" si="10"/>
        <v>91.805999999999997</v>
      </c>
      <c r="N40" s="45">
        <f t="shared" si="15"/>
        <v>6.7850000000000001</v>
      </c>
      <c r="O40" s="46">
        <f t="shared" si="16"/>
        <v>194.05100000000002</v>
      </c>
      <c r="P40" s="156"/>
    </row>
    <row r="41" spans="1:16" x14ac:dyDescent="0.3">
      <c r="A41" s="71" t="str">
        <f>IF(F41&lt;&gt;"",1+MAX($A$2:A40),"")</f>
        <v/>
      </c>
      <c r="B41" s="215"/>
      <c r="C41" s="58" t="s">
        <v>74</v>
      </c>
      <c r="D41" s="59"/>
      <c r="E41" s="41"/>
      <c r="F41" s="42"/>
      <c r="G41" s="43"/>
      <c r="H41" s="36"/>
      <c r="I41" s="177"/>
      <c r="J41" s="44"/>
      <c r="K41" s="44"/>
      <c r="L41" s="37"/>
      <c r="M41" s="37"/>
      <c r="N41" s="45"/>
      <c r="O41" s="46"/>
      <c r="P41" s="156"/>
    </row>
    <row r="42" spans="1:16" ht="62" x14ac:dyDescent="0.3">
      <c r="A42" s="71">
        <f>IF(F42&lt;&gt;"",1+MAX($A$2:A41),"")</f>
        <v>22</v>
      </c>
      <c r="B42" s="215"/>
      <c r="C42" s="155" t="s">
        <v>75</v>
      </c>
      <c r="D42" s="41" t="s">
        <v>7</v>
      </c>
      <c r="E42" s="41">
        <v>126</v>
      </c>
      <c r="F42" s="42">
        <v>0.1</v>
      </c>
      <c r="G42" s="43">
        <f t="shared" si="13"/>
        <v>138.6</v>
      </c>
      <c r="H42" s="36">
        <v>0.121</v>
      </c>
      <c r="I42" s="177">
        <v>65</v>
      </c>
      <c r="J42" s="44">
        <f>H42*I42</f>
        <v>7.8650000000000002</v>
      </c>
      <c r="K42" s="44">
        <v>6.85</v>
      </c>
      <c r="L42" s="37">
        <f t="shared" si="9"/>
        <v>1090.0889999999999</v>
      </c>
      <c r="M42" s="37">
        <f t="shared" si="10"/>
        <v>949.41</v>
      </c>
      <c r="N42" s="45">
        <f t="shared" si="15"/>
        <v>14.715</v>
      </c>
      <c r="O42" s="46">
        <f t="shared" si="16"/>
        <v>2039.4989999999998</v>
      </c>
      <c r="P42" s="156"/>
    </row>
    <row r="43" spans="1:16" ht="62" x14ac:dyDescent="0.3">
      <c r="A43" s="71">
        <f>IF(F43&lt;&gt;"",1+MAX($A$2:A42),"")</f>
        <v>23</v>
      </c>
      <c r="B43" s="215"/>
      <c r="C43" s="155" t="s">
        <v>76</v>
      </c>
      <c r="D43" s="41" t="s">
        <v>7</v>
      </c>
      <c r="E43" s="41">
        <v>11</v>
      </c>
      <c r="F43" s="42">
        <v>0.1</v>
      </c>
      <c r="G43" s="43">
        <f t="shared" si="13"/>
        <v>12.1</v>
      </c>
      <c r="H43" s="36">
        <v>0.121</v>
      </c>
      <c r="I43" s="177">
        <v>65</v>
      </c>
      <c r="J43" s="44">
        <f>H43*I43</f>
        <v>7.8650000000000002</v>
      </c>
      <c r="K43" s="44">
        <v>6.85</v>
      </c>
      <c r="L43" s="37">
        <f t="shared" si="9"/>
        <v>95.166499999999999</v>
      </c>
      <c r="M43" s="37">
        <f t="shared" si="10"/>
        <v>82.884999999999991</v>
      </c>
      <c r="N43" s="45">
        <f t="shared" si="15"/>
        <v>14.715</v>
      </c>
      <c r="O43" s="46">
        <f t="shared" si="16"/>
        <v>178.0515</v>
      </c>
      <c r="P43" s="156"/>
    </row>
    <row r="44" spans="1:16" x14ac:dyDescent="0.3">
      <c r="A44" s="71" t="str">
        <f>IF(F44&lt;&gt;"",1+MAX($A$2:A43),"")</f>
        <v/>
      </c>
      <c r="B44" s="215"/>
      <c r="C44" s="58" t="s">
        <v>77</v>
      </c>
      <c r="D44" s="59"/>
      <c r="E44" s="41"/>
      <c r="F44" s="42"/>
      <c r="G44" s="43"/>
      <c r="H44" s="36"/>
      <c r="I44" s="177"/>
      <c r="J44" s="44"/>
      <c r="K44" s="44"/>
      <c r="L44" s="37"/>
      <c r="M44" s="37"/>
      <c r="N44" s="45"/>
      <c r="O44" s="46"/>
      <c r="P44" s="156"/>
    </row>
    <row r="45" spans="1:16" x14ac:dyDescent="0.3">
      <c r="A45" s="71" t="str">
        <f>IF(F45&lt;&gt;"",1+MAX($A$2:A44),"")</f>
        <v/>
      </c>
      <c r="B45" s="215"/>
      <c r="C45" s="123" t="s">
        <v>78</v>
      </c>
      <c r="D45" s="41"/>
      <c r="E45" s="41"/>
      <c r="F45" s="42"/>
      <c r="G45" s="43"/>
      <c r="H45" s="36"/>
      <c r="I45" s="177"/>
      <c r="J45" s="44"/>
      <c r="K45" s="44"/>
      <c r="L45" s="37"/>
      <c r="M45" s="37"/>
      <c r="N45" s="45"/>
      <c r="O45" s="46"/>
      <c r="P45" s="156"/>
    </row>
    <row r="46" spans="1:16" x14ac:dyDescent="0.3">
      <c r="A46" s="71">
        <f>IF(F46&lt;&gt;"",1+MAX($A$2:A45),"")</f>
        <v>24</v>
      </c>
      <c r="B46" s="215"/>
      <c r="C46" s="105" t="s">
        <v>79</v>
      </c>
      <c r="D46" s="41" t="s">
        <v>7</v>
      </c>
      <c r="E46" s="41">
        <v>666</v>
      </c>
      <c r="F46" s="42">
        <v>0.1</v>
      </c>
      <c r="G46" s="43">
        <f t="shared" si="13"/>
        <v>732.6</v>
      </c>
      <c r="H46" s="36">
        <v>0.02</v>
      </c>
      <c r="I46" s="177">
        <v>65</v>
      </c>
      <c r="J46" s="44">
        <f t="shared" si="14"/>
        <v>1.3</v>
      </c>
      <c r="K46" s="44">
        <v>0.4</v>
      </c>
      <c r="L46" s="37">
        <f t="shared" si="9"/>
        <v>952.38000000000011</v>
      </c>
      <c r="M46" s="37">
        <f t="shared" si="10"/>
        <v>293.04000000000002</v>
      </c>
      <c r="N46" s="45">
        <f t="shared" si="15"/>
        <v>1.7000000000000002</v>
      </c>
      <c r="O46" s="46">
        <f t="shared" si="16"/>
        <v>1245.42</v>
      </c>
      <c r="P46" s="156"/>
    </row>
    <row r="47" spans="1:16" x14ac:dyDescent="0.3">
      <c r="A47" s="71">
        <f>IF(F47&lt;&gt;"",1+MAX($A$2:A46),"")</f>
        <v>25</v>
      </c>
      <c r="B47" s="215"/>
      <c r="C47" s="105" t="s">
        <v>80</v>
      </c>
      <c r="D47" s="41" t="s">
        <v>7</v>
      </c>
      <c r="E47" s="41">
        <v>189</v>
      </c>
      <c r="F47" s="42">
        <v>0.1</v>
      </c>
      <c r="G47" s="43">
        <f t="shared" si="13"/>
        <v>207.9</v>
      </c>
      <c r="H47" s="36">
        <v>0.02</v>
      </c>
      <c r="I47" s="177">
        <v>65</v>
      </c>
      <c r="J47" s="44">
        <f t="shared" si="14"/>
        <v>1.3</v>
      </c>
      <c r="K47" s="44">
        <v>0.4</v>
      </c>
      <c r="L47" s="37">
        <f t="shared" si="9"/>
        <v>270.27000000000004</v>
      </c>
      <c r="M47" s="37">
        <f t="shared" si="10"/>
        <v>83.160000000000011</v>
      </c>
      <c r="N47" s="45">
        <f t="shared" si="15"/>
        <v>1.7000000000000002</v>
      </c>
      <c r="O47" s="46">
        <f t="shared" si="16"/>
        <v>353.43000000000006</v>
      </c>
      <c r="P47" s="156"/>
    </row>
    <row r="48" spans="1:16" x14ac:dyDescent="0.3">
      <c r="A48" s="71" t="str">
        <f>IF(F48&lt;&gt;"",1+MAX($A$2:A47),"")</f>
        <v/>
      </c>
      <c r="B48" s="215"/>
      <c r="C48" s="123" t="s">
        <v>81</v>
      </c>
      <c r="D48" s="41"/>
      <c r="E48" s="41"/>
      <c r="F48" s="42"/>
      <c r="G48" s="43"/>
      <c r="H48" s="36"/>
      <c r="I48" s="177"/>
      <c r="J48" s="44"/>
      <c r="K48" s="44"/>
      <c r="L48" s="37">
        <f t="shared" si="9"/>
        <v>0</v>
      </c>
      <c r="M48" s="37">
        <f t="shared" si="10"/>
        <v>0</v>
      </c>
      <c r="N48" s="45"/>
      <c r="O48" s="46"/>
      <c r="P48" s="156"/>
    </row>
    <row r="49" spans="1:16" x14ac:dyDescent="0.3">
      <c r="A49" s="71">
        <f>IF(F49&lt;&gt;"",1+MAX($A$2:A48),"")</f>
        <v>26</v>
      </c>
      <c r="B49" s="215"/>
      <c r="C49" s="105" t="s">
        <v>82</v>
      </c>
      <c r="D49" s="41" t="s">
        <v>7</v>
      </c>
      <c r="E49" s="41">
        <v>226</v>
      </c>
      <c r="F49" s="42">
        <v>0.1</v>
      </c>
      <c r="G49" s="43">
        <f t="shared" si="13"/>
        <v>248.6</v>
      </c>
      <c r="H49" s="36">
        <v>2.1999999999999999E-2</v>
      </c>
      <c r="I49" s="177">
        <v>65</v>
      </c>
      <c r="J49" s="44">
        <f t="shared" si="14"/>
        <v>1.43</v>
      </c>
      <c r="K49" s="44">
        <v>0.4</v>
      </c>
      <c r="L49" s="37">
        <f t="shared" si="9"/>
        <v>355.49799999999999</v>
      </c>
      <c r="M49" s="37">
        <f t="shared" si="10"/>
        <v>99.44</v>
      </c>
      <c r="N49" s="45">
        <f t="shared" si="15"/>
        <v>1.83</v>
      </c>
      <c r="O49" s="46">
        <f t="shared" si="16"/>
        <v>454.93799999999999</v>
      </c>
      <c r="P49" s="156"/>
    </row>
    <row r="50" spans="1:16" x14ac:dyDescent="0.3">
      <c r="A50" s="71">
        <f>IF(F50&lt;&gt;"",1+MAX($A$2:A49),"")</f>
        <v>27</v>
      </c>
      <c r="B50" s="215"/>
      <c r="C50" s="105" t="s">
        <v>83</v>
      </c>
      <c r="D50" s="41" t="s">
        <v>7</v>
      </c>
      <c r="E50" s="41">
        <v>50</v>
      </c>
      <c r="F50" s="42">
        <v>0.1</v>
      </c>
      <c r="G50" s="43">
        <f t="shared" si="13"/>
        <v>55</v>
      </c>
      <c r="H50" s="36">
        <v>2.1999999999999999E-2</v>
      </c>
      <c r="I50" s="177">
        <v>65</v>
      </c>
      <c r="J50" s="44">
        <f t="shared" si="14"/>
        <v>1.43</v>
      </c>
      <c r="K50" s="44">
        <v>0.4</v>
      </c>
      <c r="L50" s="37">
        <f t="shared" si="9"/>
        <v>78.649999999999991</v>
      </c>
      <c r="M50" s="37">
        <f t="shared" si="10"/>
        <v>22</v>
      </c>
      <c r="N50" s="45">
        <f t="shared" si="15"/>
        <v>1.83</v>
      </c>
      <c r="O50" s="46">
        <f t="shared" si="16"/>
        <v>100.65</v>
      </c>
      <c r="P50" s="156"/>
    </row>
    <row r="51" spans="1:16" x14ac:dyDescent="0.3">
      <c r="A51" s="71" t="str">
        <f>IF(F51&lt;&gt;"",1+MAX($A$2:A50),"")</f>
        <v/>
      </c>
      <c r="B51" s="215"/>
      <c r="C51" s="123" t="s">
        <v>84</v>
      </c>
      <c r="D51" s="41"/>
      <c r="E51" s="41"/>
      <c r="F51" s="42"/>
      <c r="G51" s="43"/>
      <c r="H51" s="36"/>
      <c r="I51" s="177"/>
      <c r="J51" s="44"/>
      <c r="K51" s="44"/>
      <c r="L51" s="37"/>
      <c r="M51" s="37"/>
      <c r="N51" s="45"/>
      <c r="O51" s="46"/>
      <c r="P51" s="156"/>
    </row>
    <row r="52" spans="1:16" x14ac:dyDescent="0.3">
      <c r="A52" s="71">
        <f>IF(F52&lt;&gt;"",1+MAX($A$2:A51),"")</f>
        <v>28</v>
      </c>
      <c r="B52" s="215"/>
      <c r="C52" s="105" t="s">
        <v>85</v>
      </c>
      <c r="D52" s="41" t="s">
        <v>32</v>
      </c>
      <c r="E52" s="41">
        <v>3</v>
      </c>
      <c r="F52" s="42">
        <v>0.1</v>
      </c>
      <c r="G52" s="43">
        <f t="shared" si="13"/>
        <v>3.3</v>
      </c>
      <c r="H52" s="36">
        <f>(0.032*3*7*2)</f>
        <v>1.3440000000000001</v>
      </c>
      <c r="I52" s="177">
        <v>65</v>
      </c>
      <c r="J52" s="44">
        <f t="shared" si="14"/>
        <v>87.36</v>
      </c>
      <c r="K52" s="44">
        <f>(0.4*3*7*2)+10</f>
        <v>26.800000000000004</v>
      </c>
      <c r="L52" s="37">
        <f t="shared" si="9"/>
        <v>288.28800000000001</v>
      </c>
      <c r="M52" s="37">
        <f t="shared" si="10"/>
        <v>88.440000000000012</v>
      </c>
      <c r="N52" s="45">
        <f t="shared" si="15"/>
        <v>114.16</v>
      </c>
      <c r="O52" s="46">
        <f t="shared" si="16"/>
        <v>376.72799999999995</v>
      </c>
      <c r="P52" s="156"/>
    </row>
    <row r="53" spans="1:16" x14ac:dyDescent="0.3">
      <c r="A53" s="71">
        <f>IF(F53&lt;&gt;"",1+MAX($A$2:A52),"")</f>
        <v>29</v>
      </c>
      <c r="B53" s="215"/>
      <c r="C53" s="105" t="s">
        <v>86</v>
      </c>
      <c r="D53" s="41" t="s">
        <v>32</v>
      </c>
      <c r="E53" s="41">
        <v>1</v>
      </c>
      <c r="F53" s="42">
        <v>0.1</v>
      </c>
      <c r="G53" s="43">
        <f t="shared" si="13"/>
        <v>1.1000000000000001</v>
      </c>
      <c r="H53" s="36">
        <f>(0.032*3*7*2)</f>
        <v>1.3440000000000001</v>
      </c>
      <c r="I53" s="177">
        <v>65</v>
      </c>
      <c r="J53" s="44">
        <f t="shared" si="14"/>
        <v>87.36</v>
      </c>
      <c r="K53" s="44">
        <f t="shared" ref="K53" si="18">(0.4*3*7*2)+10</f>
        <v>26.800000000000004</v>
      </c>
      <c r="L53" s="37">
        <f t="shared" si="9"/>
        <v>96.096000000000004</v>
      </c>
      <c r="M53" s="37">
        <f t="shared" si="10"/>
        <v>29.480000000000008</v>
      </c>
      <c r="N53" s="45">
        <f t="shared" si="15"/>
        <v>114.16</v>
      </c>
      <c r="O53" s="46">
        <f t="shared" si="16"/>
        <v>125.57600000000001</v>
      </c>
      <c r="P53" s="156"/>
    </row>
    <row r="54" spans="1:16" x14ac:dyDescent="0.3">
      <c r="A54" s="71">
        <f>IF(F54&lt;&gt;"",1+MAX($A$2:A53),"")</f>
        <v>30</v>
      </c>
      <c r="B54" s="215"/>
      <c r="C54" s="105" t="s">
        <v>87</v>
      </c>
      <c r="D54" s="41" t="s">
        <v>32</v>
      </c>
      <c r="E54" s="41">
        <v>1</v>
      </c>
      <c r="F54" s="42">
        <v>0.1</v>
      </c>
      <c r="G54" s="43">
        <f t="shared" si="13"/>
        <v>1.1000000000000001</v>
      </c>
      <c r="H54" s="36">
        <f>(0.032*(2+8/12)*(6+8/12)*2)</f>
        <v>1.1377777777777778</v>
      </c>
      <c r="I54" s="177">
        <v>65</v>
      </c>
      <c r="J54" s="44">
        <f t="shared" si="14"/>
        <v>73.955555555555549</v>
      </c>
      <c r="K54" s="44">
        <f>(0.4*(2+8/12)*(6+8/12)*2)+10</f>
        <v>24.222222222222221</v>
      </c>
      <c r="L54" s="37">
        <f t="shared" si="9"/>
        <v>81.351111111111109</v>
      </c>
      <c r="M54" s="37">
        <f t="shared" si="10"/>
        <v>26.644444444444446</v>
      </c>
      <c r="N54" s="45">
        <f t="shared" si="15"/>
        <v>98.177777777777777</v>
      </c>
      <c r="O54" s="46">
        <f t="shared" si="16"/>
        <v>107.99555555555557</v>
      </c>
      <c r="P54" s="156"/>
    </row>
    <row r="55" spans="1:16" x14ac:dyDescent="0.3">
      <c r="A55" s="71">
        <f>IF(F55&lt;&gt;"",1+MAX($A$2:A54),"")</f>
        <v>31</v>
      </c>
      <c r="B55" s="215"/>
      <c r="C55" s="155" t="s">
        <v>88</v>
      </c>
      <c r="D55" s="41" t="s">
        <v>32</v>
      </c>
      <c r="E55" s="41">
        <v>1</v>
      </c>
      <c r="F55" s="42">
        <v>0.1</v>
      </c>
      <c r="G55" s="43">
        <f t="shared" si="13"/>
        <v>1.1000000000000001</v>
      </c>
      <c r="H55" s="36">
        <f>(0.032*3*3*2)</f>
        <v>0.57600000000000007</v>
      </c>
      <c r="I55" s="177">
        <v>65</v>
      </c>
      <c r="J55" s="44">
        <f t="shared" si="14"/>
        <v>37.440000000000005</v>
      </c>
      <c r="K55" s="44">
        <f>(0.4*3*3*2)+10</f>
        <v>17.200000000000003</v>
      </c>
      <c r="L55" s="37">
        <f t="shared" si="9"/>
        <v>41.184000000000012</v>
      </c>
      <c r="M55" s="37">
        <f t="shared" si="10"/>
        <v>18.920000000000005</v>
      </c>
      <c r="N55" s="45">
        <f t="shared" si="15"/>
        <v>54.640000000000008</v>
      </c>
      <c r="O55" s="46">
        <f t="shared" si="16"/>
        <v>60.104000000000013</v>
      </c>
      <c r="P55" s="156"/>
    </row>
    <row r="56" spans="1:16" x14ac:dyDescent="0.3">
      <c r="A56" s="71" t="str">
        <f>IF(F56&lt;&gt;"",1+MAX($A$2:A55),"")</f>
        <v/>
      </c>
      <c r="B56" s="215"/>
      <c r="C56" s="123" t="s">
        <v>89</v>
      </c>
      <c r="D56" s="41"/>
      <c r="E56" s="41"/>
      <c r="F56" s="42"/>
      <c r="G56" s="43"/>
      <c r="H56" s="36"/>
      <c r="I56" s="177"/>
      <c r="J56" s="44"/>
      <c r="K56" s="44"/>
      <c r="L56" s="37"/>
      <c r="M56" s="37"/>
      <c r="N56" s="45"/>
      <c r="O56" s="46"/>
      <c r="P56" s="156"/>
    </row>
    <row r="57" spans="1:16" x14ac:dyDescent="0.3">
      <c r="A57" s="71">
        <f>IF(F57&lt;&gt;"",1+MAX($A$2:A56),"")</f>
        <v>32</v>
      </c>
      <c r="B57" s="215"/>
      <c r="C57" s="155" t="s">
        <v>89</v>
      </c>
      <c r="D57" s="41" t="s">
        <v>33</v>
      </c>
      <c r="E57" s="41">
        <v>187</v>
      </c>
      <c r="F57" s="42">
        <v>0.1</v>
      </c>
      <c r="G57" s="43">
        <f t="shared" si="13"/>
        <v>205.7</v>
      </c>
      <c r="H57" s="36">
        <v>1.7999999999999999E-2</v>
      </c>
      <c r="I57" s="177">
        <v>65</v>
      </c>
      <c r="J57" s="44">
        <f t="shared" si="14"/>
        <v>1.17</v>
      </c>
      <c r="K57" s="44">
        <v>0.8</v>
      </c>
      <c r="L57" s="37">
        <f t="shared" si="9"/>
        <v>240.66899999999998</v>
      </c>
      <c r="M57" s="37">
        <f t="shared" si="10"/>
        <v>164.56</v>
      </c>
      <c r="N57" s="45">
        <f t="shared" si="15"/>
        <v>1.97</v>
      </c>
      <c r="O57" s="46">
        <f t="shared" si="16"/>
        <v>405.22899999999998</v>
      </c>
      <c r="P57" s="156"/>
    </row>
    <row r="58" spans="1:16" x14ac:dyDescent="0.3">
      <c r="A58" s="71" t="str">
        <f>IF(F58&lt;&gt;"",1+MAX($A$2:A57),"")</f>
        <v/>
      </c>
      <c r="B58" s="215"/>
      <c r="C58" s="123" t="s">
        <v>90</v>
      </c>
      <c r="D58" s="41"/>
      <c r="E58" s="41"/>
      <c r="F58" s="42"/>
      <c r="G58" s="43"/>
      <c r="H58" s="36"/>
      <c r="I58" s="177"/>
      <c r="J58" s="44"/>
      <c r="K58" s="44"/>
      <c r="L58" s="37"/>
      <c r="M58" s="37"/>
      <c r="N58" s="45"/>
      <c r="O58" s="46"/>
      <c r="P58" s="156"/>
    </row>
    <row r="59" spans="1:16" x14ac:dyDescent="0.3">
      <c r="A59" s="71">
        <f>IF(F59&lt;&gt;"",1+MAX($A$2:A58),"")</f>
        <v>33</v>
      </c>
      <c r="B59" s="215"/>
      <c r="C59" s="105" t="s">
        <v>90</v>
      </c>
      <c r="D59" s="41" t="s">
        <v>33</v>
      </c>
      <c r="E59" s="41">
        <v>92</v>
      </c>
      <c r="F59" s="42">
        <v>0.1</v>
      </c>
      <c r="G59" s="43">
        <f t="shared" si="13"/>
        <v>101.2</v>
      </c>
      <c r="H59" s="36">
        <v>1.7999999999999999E-2</v>
      </c>
      <c r="I59" s="177">
        <v>65</v>
      </c>
      <c r="J59" s="44">
        <f t="shared" si="14"/>
        <v>1.17</v>
      </c>
      <c r="K59" s="44">
        <v>0.8</v>
      </c>
      <c r="L59" s="37">
        <f t="shared" si="9"/>
        <v>118.404</v>
      </c>
      <c r="M59" s="37">
        <f t="shared" si="10"/>
        <v>80.960000000000008</v>
      </c>
      <c r="N59" s="45">
        <f t="shared" si="15"/>
        <v>1.97</v>
      </c>
      <c r="O59" s="46">
        <f t="shared" si="16"/>
        <v>199.364</v>
      </c>
      <c r="P59" s="156"/>
    </row>
    <row r="60" spans="1:16" x14ac:dyDescent="0.3">
      <c r="A60" s="71" t="str">
        <f>IF(F60&lt;&gt;"",1+MAX($A$2:A59),"")</f>
        <v/>
      </c>
      <c r="B60" s="215"/>
      <c r="C60" s="58" t="s">
        <v>91</v>
      </c>
      <c r="D60" s="59"/>
      <c r="E60" s="41"/>
      <c r="F60" s="42"/>
      <c r="G60" s="43"/>
      <c r="H60" s="36"/>
      <c r="I60" s="177"/>
      <c r="J60" s="44"/>
      <c r="K60" s="44"/>
      <c r="L60" s="37"/>
      <c r="M60" s="37"/>
      <c r="N60" s="45"/>
      <c r="O60" s="46"/>
      <c r="P60" s="156"/>
    </row>
    <row r="61" spans="1:16" ht="18" customHeight="1" x14ac:dyDescent="0.3">
      <c r="A61" s="71">
        <f>IF(F61&lt;&gt;"",1+MAX($A$2:A60),"")</f>
        <v>34</v>
      </c>
      <c r="B61" s="215"/>
      <c r="C61" s="155" t="s">
        <v>92</v>
      </c>
      <c r="D61" s="41" t="s">
        <v>7</v>
      </c>
      <c r="E61" s="41">
        <v>683</v>
      </c>
      <c r="F61" s="42">
        <v>0.1</v>
      </c>
      <c r="G61" s="43">
        <f t="shared" si="13"/>
        <v>751.3</v>
      </c>
      <c r="H61" s="36">
        <v>0.04</v>
      </c>
      <c r="I61" s="177">
        <v>65</v>
      </c>
      <c r="J61" s="44">
        <f t="shared" si="14"/>
        <v>2.6</v>
      </c>
      <c r="K61" s="44">
        <v>3.5</v>
      </c>
      <c r="L61" s="37">
        <f t="shared" si="9"/>
        <v>1953.3799999999999</v>
      </c>
      <c r="M61" s="37">
        <f t="shared" si="10"/>
        <v>2629.5499999999997</v>
      </c>
      <c r="N61" s="45">
        <f t="shared" si="15"/>
        <v>6.1</v>
      </c>
      <c r="O61" s="46">
        <f t="shared" si="16"/>
        <v>4582.9299999999994</v>
      </c>
      <c r="P61" s="156"/>
    </row>
    <row r="62" spans="1:16" ht="15.65" customHeight="1" x14ac:dyDescent="0.3">
      <c r="A62" s="71">
        <f>IF(F62&lt;&gt;"",1+MAX($A$2:A61),"")</f>
        <v>35</v>
      </c>
      <c r="B62" s="216"/>
      <c r="C62" s="105" t="s">
        <v>93</v>
      </c>
      <c r="D62" s="41" t="s">
        <v>33</v>
      </c>
      <c r="E62" s="41">
        <v>110</v>
      </c>
      <c r="F62" s="42">
        <v>0.1</v>
      </c>
      <c r="G62" s="43">
        <f t="shared" si="13"/>
        <v>121</v>
      </c>
      <c r="H62" s="36">
        <v>0.03</v>
      </c>
      <c r="I62" s="177">
        <v>65</v>
      </c>
      <c r="J62" s="44">
        <f t="shared" si="14"/>
        <v>1.95</v>
      </c>
      <c r="K62" s="44">
        <v>2.8</v>
      </c>
      <c r="L62" s="37">
        <f t="shared" si="9"/>
        <v>235.95</v>
      </c>
      <c r="M62" s="37">
        <f t="shared" si="10"/>
        <v>338.79999999999995</v>
      </c>
      <c r="N62" s="45">
        <f t="shared" si="15"/>
        <v>4.75</v>
      </c>
      <c r="O62" s="46">
        <f t="shared" si="16"/>
        <v>574.75</v>
      </c>
      <c r="P62" s="156"/>
    </row>
    <row r="63" spans="1:16" x14ac:dyDescent="0.3">
      <c r="A63" s="71" t="str">
        <f>IF(F63&lt;&gt;"",1+MAX($A$2:A62),"")</f>
        <v/>
      </c>
      <c r="B63" s="64"/>
      <c r="C63" s="32"/>
      <c r="D63" s="41"/>
      <c r="E63" s="43"/>
      <c r="F63" s="42"/>
      <c r="G63" s="43"/>
      <c r="H63" s="36"/>
      <c r="I63" s="177"/>
      <c r="J63" s="44"/>
      <c r="K63" s="44"/>
      <c r="L63" s="44"/>
      <c r="M63" s="44"/>
      <c r="N63" s="45"/>
      <c r="O63" s="46"/>
      <c r="P63" s="156"/>
    </row>
    <row r="64" spans="1:16" s="1" customFormat="1" x14ac:dyDescent="0.3">
      <c r="A64" s="153" t="str">
        <f>IF(F64&lt;&gt;"",1+MAX($A$2:A63),"")</f>
        <v/>
      </c>
      <c r="B64" s="47"/>
      <c r="C64" s="47"/>
      <c r="D64" s="47"/>
      <c r="E64" s="47"/>
      <c r="F64" s="47"/>
      <c r="G64" s="47"/>
      <c r="H64" s="47"/>
      <c r="I64" s="178"/>
      <c r="J64" s="48"/>
      <c r="K64" s="48"/>
      <c r="L64" s="50">
        <f>SUM(L23:L63)</f>
        <v>11397.012611111111</v>
      </c>
      <c r="M64" s="50">
        <f>SUM(M23:M63)</f>
        <v>8369.3050069444434</v>
      </c>
      <c r="N64" s="49" t="s">
        <v>22</v>
      </c>
      <c r="O64" s="50">
        <f>SUM(O23:O63)</f>
        <v>19766.317618055553</v>
      </c>
      <c r="P64" s="156"/>
    </row>
    <row r="65" spans="1:16" x14ac:dyDescent="0.3">
      <c r="A65" s="65" t="str">
        <f>IF(E65&lt;&gt;"",1+MAX(A$1:$A64),"")</f>
        <v/>
      </c>
      <c r="B65" s="66"/>
      <c r="C65" s="66"/>
      <c r="D65" s="67"/>
      <c r="E65" s="118"/>
      <c r="F65" s="68"/>
      <c r="G65" s="118"/>
      <c r="H65" s="118"/>
      <c r="I65" s="180"/>
      <c r="J65" s="69"/>
      <c r="K65" s="69"/>
      <c r="L65" s="69"/>
      <c r="M65" s="69"/>
      <c r="N65" s="119"/>
      <c r="O65" s="70"/>
      <c r="P65" s="156"/>
    </row>
    <row r="66" spans="1:16" ht="20.149999999999999" customHeight="1" x14ac:dyDescent="0.3">
      <c r="A66" s="211" t="s">
        <v>10</v>
      </c>
      <c r="B66" s="212"/>
      <c r="C66" s="212"/>
      <c r="D66" s="212"/>
      <c r="E66" s="212"/>
      <c r="F66" s="212"/>
      <c r="G66" s="212"/>
      <c r="H66" s="212"/>
      <c r="I66" s="212"/>
      <c r="J66" s="212"/>
      <c r="K66" s="213"/>
      <c r="L66" s="73"/>
      <c r="M66" s="73"/>
      <c r="N66" s="74"/>
      <c r="O66" s="75">
        <f>SUM(O20+O64)</f>
        <v>22138.275732222221</v>
      </c>
    </row>
    <row r="67" spans="1:16" ht="20.149999999999999" customHeight="1" x14ac:dyDescent="0.3">
      <c r="A67" s="76" t="s">
        <v>17</v>
      </c>
      <c r="B67" s="77"/>
      <c r="C67" s="72"/>
      <c r="D67" s="72"/>
      <c r="E67" s="72"/>
      <c r="F67" s="72"/>
      <c r="G67" s="72"/>
      <c r="H67" s="72"/>
      <c r="I67" s="181"/>
      <c r="J67" s="72"/>
      <c r="K67" s="73"/>
      <c r="L67" s="199"/>
      <c r="M67" s="199"/>
      <c r="N67" s="78">
        <v>0.15</v>
      </c>
      <c r="O67" s="79">
        <f>O66*N67</f>
        <v>3320.7413598333328</v>
      </c>
    </row>
    <row r="68" spans="1:16" ht="20.149999999999999" customHeight="1" x14ac:dyDescent="0.3">
      <c r="A68" s="80" t="s">
        <v>3</v>
      </c>
      <c r="B68" s="81"/>
      <c r="C68" s="72"/>
      <c r="D68" s="72"/>
      <c r="E68" s="72"/>
      <c r="F68" s="72"/>
      <c r="G68" s="72"/>
      <c r="H68" s="72"/>
      <c r="I68" s="181"/>
      <c r="J68" s="72"/>
      <c r="K68" s="73"/>
      <c r="L68" s="199"/>
      <c r="M68" s="199"/>
      <c r="N68" s="82">
        <v>0</v>
      </c>
      <c r="O68" s="83">
        <f>O66*N68</f>
        <v>0</v>
      </c>
    </row>
    <row r="69" spans="1:16" ht="20.149999999999999" customHeight="1" x14ac:dyDescent="0.3">
      <c r="A69" s="80" t="s">
        <v>15</v>
      </c>
      <c r="B69" s="81"/>
      <c r="C69" s="72"/>
      <c r="D69" s="72"/>
      <c r="E69" s="72"/>
      <c r="F69" s="72"/>
      <c r="G69" s="72"/>
      <c r="H69" s="72"/>
      <c r="I69" s="181"/>
      <c r="J69" s="72"/>
      <c r="K69" s="73"/>
      <c r="L69" s="189"/>
      <c r="M69" s="189"/>
      <c r="N69" s="82">
        <v>0.05</v>
      </c>
      <c r="O69" s="79">
        <f>O66*N69</f>
        <v>1106.9137866111112</v>
      </c>
    </row>
    <row r="70" spans="1:16" ht="20.149999999999999" customHeight="1" thickBot="1" x14ac:dyDescent="0.35">
      <c r="A70" s="84" t="s">
        <v>23</v>
      </c>
      <c r="B70" s="85"/>
      <c r="C70" s="86"/>
      <c r="D70" s="86"/>
      <c r="E70" s="86"/>
      <c r="F70" s="86"/>
      <c r="G70" s="86"/>
      <c r="H70" s="86"/>
      <c r="I70" s="182"/>
      <c r="J70" s="86"/>
      <c r="K70" s="87"/>
      <c r="L70" s="190"/>
      <c r="M70" s="190"/>
      <c r="N70" s="88">
        <v>9.7000000000000003E-2</v>
      </c>
      <c r="O70" s="89">
        <f>O66*N70</f>
        <v>2147.4127460255554</v>
      </c>
    </row>
    <row r="71" spans="1:16" ht="20.149999999999999" customHeight="1" thickBot="1" x14ac:dyDescent="0.35">
      <c r="A71" s="207" t="s">
        <v>11</v>
      </c>
      <c r="B71" s="208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10"/>
      <c r="O71" s="90">
        <f>O66+O67+O68+O69+O70</f>
        <v>28713.343624692221</v>
      </c>
    </row>
    <row r="72" spans="1:16" ht="20.149999999999999" customHeight="1" thickBot="1" x14ac:dyDescent="0.35">
      <c r="A72" s="91" t="s">
        <v>48</v>
      </c>
      <c r="B72" s="92"/>
      <c r="C72" s="120"/>
      <c r="D72" s="120"/>
      <c r="E72" s="120"/>
      <c r="F72" s="120"/>
      <c r="G72" s="120"/>
      <c r="H72" s="120"/>
      <c r="I72" s="183"/>
      <c r="J72" s="120"/>
      <c r="K72" s="120"/>
      <c r="L72" s="120"/>
      <c r="M72" s="120"/>
      <c r="N72" s="121"/>
      <c r="O72" s="93"/>
    </row>
    <row r="73" spans="1:16" ht="20.149999999999999" customHeight="1" x14ac:dyDescent="0.3">
      <c r="A73" s="94"/>
      <c r="B73" s="122"/>
      <c r="C73" s="120"/>
      <c r="D73" s="120"/>
      <c r="E73" s="120"/>
      <c r="F73" s="120"/>
      <c r="G73" s="120"/>
      <c r="H73" s="120"/>
      <c r="I73" s="183"/>
      <c r="J73" s="120"/>
      <c r="K73" s="120"/>
      <c r="L73" s="120"/>
      <c r="M73" s="120"/>
      <c r="N73" s="121"/>
      <c r="O73" s="93" t="s">
        <v>30</v>
      </c>
    </row>
    <row r="74" spans="1:16" ht="20.149999999999999" customHeight="1" x14ac:dyDescent="0.3">
      <c r="A74" s="94"/>
      <c r="B74" s="122"/>
      <c r="C74" s="120"/>
      <c r="D74" s="120"/>
      <c r="E74" s="120"/>
      <c r="F74" s="120"/>
      <c r="G74" s="120"/>
      <c r="H74" s="120"/>
      <c r="I74" s="183"/>
      <c r="J74" s="120"/>
      <c r="K74" s="120"/>
      <c r="L74" s="120"/>
      <c r="M74" s="120"/>
      <c r="N74" s="121"/>
      <c r="O74" s="93"/>
    </row>
  </sheetData>
  <mergeCells count="4">
    <mergeCell ref="A71:N71"/>
    <mergeCell ref="A66:K66"/>
    <mergeCell ref="A2:O2"/>
    <mergeCell ref="B24:B62"/>
  </mergeCells>
  <printOptions horizontalCentered="1"/>
  <pageMargins left="0.7" right="0.7" top="0.75" bottom="0.75" header="0.3" footer="0.3"/>
  <pageSetup paperSize="9" scale="50" fitToHeight="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AAA0814A-0D75-425F-A6CE-87E115C480D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General Summary</vt:lpstr>
      <vt:lpstr>Takeoff Breakdown</vt:lpstr>
      <vt:lpstr>'General Summary'!Print_Area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NEDES</dc:creator>
  <cp:lastModifiedBy>Hamid Shahzad</cp:lastModifiedBy>
  <cp:lastPrinted>2023-01-11T20:23:43Z</cp:lastPrinted>
  <dcterms:created xsi:type="dcterms:W3CDTF">2016-03-30T11:57:46Z</dcterms:created>
  <dcterms:modified xsi:type="dcterms:W3CDTF">2026-03-13T19:18:08Z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{AAA0814A-0D75-425F-A6CE-87E115C480D3}</vt:lpwstr>
  </property>
</Properties>
</file>